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90" windowWidth="9225" windowHeight="6870"/>
  </bookViews>
  <sheets>
    <sheet name="totals and goals" sheetId="1" r:id="rId1"/>
    <sheet name="sccloss" sheetId="2" r:id="rId2"/>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Pal_Workbook_GUID" hidden="1">"G2ZJIGVIG3PS7TRYL6UKKXIE"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s>
  <calcPr calcId="145621"/>
</workbook>
</file>

<file path=xl/calcChain.xml><?xml version="1.0" encoding="utf-8"?>
<calcChain xmlns="http://schemas.openxmlformats.org/spreadsheetml/2006/main">
  <c r="A42" i="1" l="1"/>
  <c r="B42" i="1"/>
  <c r="B41" i="1"/>
  <c r="A41" i="1"/>
  <c r="B3" i="2" l="1"/>
  <c r="M23" i="2"/>
  <c r="N23" i="2" s="1"/>
  <c r="N33" i="2" s="1"/>
  <c r="I30" i="2"/>
  <c r="K30" i="2" s="1"/>
  <c r="L30" i="2"/>
  <c r="B2" i="2"/>
  <c r="B4" i="2"/>
  <c r="B5" i="2"/>
  <c r="A6" i="1"/>
  <c r="H28" i="1"/>
  <c r="H29" i="1" s="1"/>
  <c r="B49" i="1"/>
  <c r="A49" i="1"/>
  <c r="A38" i="1"/>
  <c r="A40" i="1" s="1"/>
  <c r="B38" i="1"/>
  <c r="M9" i="2"/>
  <c r="N9" i="2"/>
  <c r="I10" i="2"/>
  <c r="I11" i="2"/>
  <c r="L11" i="2"/>
  <c r="I12" i="2"/>
  <c r="L12" i="2"/>
  <c r="I13" i="2"/>
  <c r="K13" i="2" s="1"/>
  <c r="L13" i="2"/>
  <c r="I14" i="2"/>
  <c r="I15" i="2"/>
  <c r="J15" i="2"/>
  <c r="I16" i="2"/>
  <c r="K16" i="2" s="1"/>
  <c r="J16" i="2"/>
  <c r="L16" i="2"/>
  <c r="I17" i="2"/>
  <c r="L17" i="2"/>
  <c r="I18" i="2"/>
  <c r="K18" i="2"/>
  <c r="I19" i="2"/>
  <c r="L19" i="2" s="1"/>
  <c r="J19" i="2"/>
  <c r="I24" i="2"/>
  <c r="L24" i="2" s="1"/>
  <c r="J24" i="2"/>
  <c r="I25" i="2"/>
  <c r="K25" i="2" s="1"/>
  <c r="J25" i="2"/>
  <c r="I26" i="2"/>
  <c r="J26" i="2"/>
  <c r="L26" i="2"/>
  <c r="I27" i="2"/>
  <c r="K27" i="2" s="1"/>
  <c r="J27" i="2"/>
  <c r="L27" i="2"/>
  <c r="I28" i="2"/>
  <c r="J28" i="2" s="1"/>
  <c r="L28" i="2"/>
  <c r="I29" i="2"/>
  <c r="J29" i="2"/>
  <c r="I31" i="2"/>
  <c r="I32" i="2"/>
  <c r="L32" i="2" s="1"/>
  <c r="K32" i="2"/>
  <c r="I33" i="2"/>
  <c r="M13" i="2"/>
  <c r="M17" i="2"/>
  <c r="K11" i="2"/>
  <c r="M33" i="2"/>
  <c r="K26" i="2"/>
  <c r="K28" i="2"/>
  <c r="K29" i="2"/>
  <c r="K33" i="2"/>
  <c r="A18" i="1"/>
  <c r="B43" i="1" s="1"/>
  <c r="B44" i="1" s="1"/>
  <c r="B51" i="1" s="1"/>
  <c r="A48" i="1"/>
  <c r="A39" i="1"/>
  <c r="B48" i="1"/>
  <c r="B34" i="1"/>
  <c r="B64" i="1"/>
  <c r="B61" i="1"/>
  <c r="A21" i="1"/>
  <c r="H1" i="1"/>
  <c r="M16" i="2"/>
  <c r="M14" i="2"/>
  <c r="J18" i="2"/>
  <c r="L25" i="2"/>
  <c r="L29" i="2"/>
  <c r="O9" i="2"/>
  <c r="O18" i="2" s="1"/>
  <c r="N17" i="2"/>
  <c r="N18" i="2"/>
  <c r="J32" i="2"/>
  <c r="J30" i="2"/>
  <c r="L15" i="2"/>
  <c r="J12" i="2"/>
  <c r="J11" i="2"/>
  <c r="K12" i="2"/>
  <c r="K24" i="2"/>
  <c r="K15" i="2"/>
  <c r="L18" i="2"/>
  <c r="J13" i="2"/>
  <c r="E20" i="1"/>
  <c r="A45" i="1"/>
  <c r="A46" i="1" s="1"/>
  <c r="A43" i="1"/>
  <c r="A28" i="1"/>
  <c r="B40" i="1"/>
  <c r="F15" i="1"/>
  <c r="H31" i="1" l="1"/>
  <c r="B65" i="1" s="1"/>
  <c r="A63" i="1" s="1"/>
  <c r="L31" i="2"/>
  <c r="J31" i="2"/>
  <c r="K31" i="2"/>
  <c r="K34" i="2" s="1"/>
  <c r="J10" i="2"/>
  <c r="L10" i="2"/>
  <c r="L20" i="2" s="1"/>
  <c r="K10" i="2"/>
  <c r="J14" i="2"/>
  <c r="D14" i="2" s="1"/>
  <c r="K14" i="2"/>
  <c r="L14" i="2"/>
  <c r="N12" i="2"/>
  <c r="N15" i="2"/>
  <c r="N11" i="2"/>
  <c r="N14" i="2"/>
  <c r="N13" i="2"/>
  <c r="N16" i="2"/>
  <c r="N10" i="2"/>
  <c r="M19" i="2"/>
  <c r="M11" i="2"/>
  <c r="M18" i="2"/>
  <c r="E18" i="2" s="1"/>
  <c r="M10" i="2"/>
  <c r="M15" i="2"/>
  <c r="E15" i="2" s="1"/>
  <c r="M12" i="2"/>
  <c r="O23" i="2"/>
  <c r="N24" i="2"/>
  <c r="N25" i="2"/>
  <c r="N30" i="2"/>
  <c r="N29" i="2"/>
  <c r="N26" i="2"/>
  <c r="N31" i="2"/>
  <c r="N27" i="2"/>
  <c r="M31" i="2"/>
  <c r="O12" i="2"/>
  <c r="O10" i="2"/>
  <c r="O11" i="2"/>
  <c r="O17" i="2"/>
  <c r="O16" i="2"/>
  <c r="P9" i="2"/>
  <c r="O15" i="2"/>
  <c r="N32" i="2"/>
  <c r="O19" i="2"/>
  <c r="N28" i="2"/>
  <c r="O13" i="2"/>
  <c r="O14" i="2"/>
  <c r="N19" i="2"/>
  <c r="M29" i="2"/>
  <c r="J33" i="2"/>
  <c r="L33" i="2"/>
  <c r="L34" i="2" s="1"/>
  <c r="K17" i="2"/>
  <c r="J17" i="2"/>
  <c r="D17" i="2" s="1"/>
  <c r="B45" i="1"/>
  <c r="B46" i="1" s="1"/>
  <c r="D12" i="2"/>
  <c r="A44" i="1"/>
  <c r="A51" i="1" s="1"/>
  <c r="A52" i="1" s="1"/>
  <c r="A30" i="1"/>
  <c r="F13" i="1"/>
  <c r="M28" i="2"/>
  <c r="J34" i="2"/>
  <c r="M30" i="2"/>
  <c r="M27" i="2"/>
  <c r="M24" i="2"/>
  <c r="M34" i="2" s="1"/>
  <c r="M25" i="2"/>
  <c r="M32" i="2"/>
  <c r="M26" i="2"/>
  <c r="D16" i="2"/>
  <c r="D18" i="2"/>
  <c r="D19" i="2"/>
  <c r="D11" i="2"/>
  <c r="D13" i="2"/>
  <c r="E13" i="2"/>
  <c r="E12" i="2"/>
  <c r="C12" i="2" s="1"/>
  <c r="A12" i="2" s="1"/>
  <c r="E16" i="2"/>
  <c r="E17" i="2"/>
  <c r="E14" i="2"/>
  <c r="E19" i="2"/>
  <c r="E11" i="2"/>
  <c r="C18" i="2" l="1"/>
  <c r="A18" i="2" s="1"/>
  <c r="C11" i="2"/>
  <c r="A11" i="2" s="1"/>
  <c r="B62" i="1"/>
  <c r="A60" i="1" s="1"/>
  <c r="A7" i="1" s="1"/>
  <c r="N20" i="2"/>
  <c r="M20" i="2"/>
  <c r="C14" i="2"/>
  <c r="A14" i="2" s="1"/>
  <c r="J20" i="2"/>
  <c r="C17" i="2"/>
  <c r="A17" i="2" s="1"/>
  <c r="O26" i="2"/>
  <c r="O31" i="2"/>
  <c r="P23" i="2"/>
  <c r="O27" i="2"/>
  <c r="O24" i="2"/>
  <c r="O29" i="2"/>
  <c r="O32" i="2"/>
  <c r="O30" i="2"/>
  <c r="O25" i="2"/>
  <c r="O33" i="2"/>
  <c r="O28" i="2"/>
  <c r="K20" i="2"/>
  <c r="O20" i="2"/>
  <c r="N34" i="2"/>
  <c r="P13" i="2"/>
  <c r="P18" i="2"/>
  <c r="P10" i="2"/>
  <c r="P15" i="2"/>
  <c r="P11" i="2"/>
  <c r="P19" i="2"/>
  <c r="P12" i="2"/>
  <c r="Q9" i="2"/>
  <c r="P16" i="2"/>
  <c r="D15" i="2"/>
  <c r="C15" i="2" s="1"/>
  <c r="A15" i="2" s="1"/>
  <c r="D10" i="2"/>
  <c r="P14" i="2"/>
  <c r="P17" i="2"/>
  <c r="E10" i="2"/>
  <c r="C13" i="2"/>
  <c r="A13" i="2" s="1"/>
  <c r="C19" i="2"/>
  <c r="A19" i="2" s="1"/>
  <c r="C16" i="2"/>
  <c r="A16" i="2" s="1"/>
  <c r="P20" i="2" l="1"/>
  <c r="Q16" i="2"/>
  <c r="Q15" i="2"/>
  <c r="Q19" i="2"/>
  <c r="Q13" i="2"/>
  <c r="Q11" i="2"/>
  <c r="Q10" i="2"/>
  <c r="Q18" i="2"/>
  <c r="R9" i="2"/>
  <c r="Q14" i="2"/>
  <c r="Q17" i="2"/>
  <c r="Q12" i="2"/>
  <c r="O34" i="2"/>
  <c r="C10" i="2"/>
  <c r="A10" i="2" s="1"/>
  <c r="Q23" i="2"/>
  <c r="P31" i="2"/>
  <c r="P25" i="2"/>
  <c r="P33" i="2"/>
  <c r="P30" i="2"/>
  <c r="P28" i="2"/>
  <c r="P29" i="2"/>
  <c r="P26" i="2"/>
  <c r="P27" i="2"/>
  <c r="E25" i="2"/>
  <c r="E24" i="2"/>
  <c r="P24" i="2"/>
  <c r="P32" i="2"/>
  <c r="E27" i="2"/>
  <c r="E31" i="2"/>
  <c r="D33" i="2"/>
  <c r="D24" i="2"/>
  <c r="C24" i="2" s="1"/>
  <c r="A24" i="2" s="1"/>
  <c r="E29" i="2"/>
  <c r="E32" i="2"/>
  <c r="D31" i="2"/>
  <c r="D30" i="2"/>
  <c r="E30" i="2"/>
  <c r="D32" i="2"/>
  <c r="E33" i="2"/>
  <c r="D27" i="2"/>
  <c r="E28" i="2"/>
  <c r="D28" i="2"/>
  <c r="D26" i="2"/>
  <c r="D29" i="2"/>
  <c r="D25" i="2"/>
  <c r="E26" i="2"/>
  <c r="A20" i="2"/>
  <c r="A55" i="1" s="1"/>
  <c r="C31" i="2" l="1"/>
  <c r="A31" i="2" s="1"/>
  <c r="C27" i="2"/>
  <c r="A27" i="2" s="1"/>
  <c r="C30" i="2"/>
  <c r="A30" i="2" s="1"/>
  <c r="C33" i="2"/>
  <c r="A33" i="2" s="1"/>
  <c r="Q20" i="2"/>
  <c r="C25" i="2"/>
  <c r="A25" i="2" s="1"/>
  <c r="C29" i="2"/>
  <c r="A29" i="2" s="1"/>
  <c r="P34" i="2"/>
  <c r="Q30" i="2"/>
  <c r="Q31" i="2"/>
  <c r="Q32" i="2"/>
  <c r="Q28" i="2"/>
  <c r="Q26" i="2"/>
  <c r="Q29" i="2"/>
  <c r="Q25" i="2"/>
  <c r="R23" i="2"/>
  <c r="Q33" i="2"/>
  <c r="Q24" i="2"/>
  <c r="Q27" i="2"/>
  <c r="C26" i="2"/>
  <c r="A26" i="2" s="1"/>
  <c r="C28" i="2"/>
  <c r="A28" i="2" s="1"/>
  <c r="C32" i="2"/>
  <c r="A32" i="2" s="1"/>
  <c r="R17" i="2"/>
  <c r="R19" i="2"/>
  <c r="R14" i="2"/>
  <c r="R11" i="2"/>
  <c r="S9" i="2"/>
  <c r="R18" i="2"/>
  <c r="R16" i="2"/>
  <c r="R12" i="2"/>
  <c r="R10" i="2"/>
  <c r="R15" i="2"/>
  <c r="R13" i="2"/>
  <c r="A34" i="2" l="1"/>
  <c r="A56" i="1" s="1"/>
  <c r="A57" i="1" s="1"/>
  <c r="A5" i="1" s="1"/>
  <c r="R20" i="2"/>
  <c r="S15" i="2"/>
  <c r="S12" i="2"/>
  <c r="S13" i="2"/>
  <c r="S11" i="2"/>
  <c r="S18" i="2"/>
  <c r="T9" i="2"/>
  <c r="S16" i="2"/>
  <c r="S17" i="2"/>
  <c r="S19" i="2"/>
  <c r="S10" i="2"/>
  <c r="S14" i="2"/>
  <c r="Q34" i="2"/>
  <c r="R27" i="2"/>
  <c r="R29" i="2"/>
  <c r="R25" i="2"/>
  <c r="R24" i="2"/>
  <c r="S23" i="2"/>
  <c r="R32" i="2"/>
  <c r="R30" i="2"/>
  <c r="R31" i="2"/>
  <c r="R33" i="2"/>
  <c r="R28" i="2"/>
  <c r="R26" i="2"/>
  <c r="A24" i="1"/>
  <c r="T18" i="2" l="1"/>
  <c r="U9" i="2"/>
  <c r="T17" i="2"/>
  <c r="T15" i="2"/>
  <c r="T14" i="2"/>
  <c r="T13" i="2"/>
  <c r="T16" i="2"/>
  <c r="T12" i="2"/>
  <c r="T10" i="2"/>
  <c r="T19" i="2"/>
  <c r="T11" i="2"/>
  <c r="S30" i="2"/>
  <c r="S24" i="2"/>
  <c r="S32" i="2"/>
  <c r="S28" i="2"/>
  <c r="S27" i="2"/>
  <c r="T23" i="2"/>
  <c r="S25" i="2"/>
  <c r="S29" i="2"/>
  <c r="S31" i="2"/>
  <c r="S33" i="2"/>
  <c r="S26" i="2"/>
  <c r="S20" i="2"/>
  <c r="R34" i="2"/>
  <c r="A26" i="1"/>
  <c r="A4" i="1" s="1"/>
  <c r="A8" i="1" s="1"/>
  <c r="A9" i="1" s="1"/>
  <c r="U12" i="2" l="1"/>
  <c r="U19" i="2"/>
  <c r="U17" i="2"/>
  <c r="U14" i="2"/>
  <c r="U15" i="2"/>
  <c r="U10" i="2"/>
  <c r="U13" i="2"/>
  <c r="U11" i="2"/>
  <c r="U16" i="2"/>
  <c r="U18" i="2"/>
  <c r="V9" i="2"/>
  <c r="S34" i="2"/>
  <c r="T26" i="2"/>
  <c r="U23" i="2"/>
  <c r="T25" i="2"/>
  <c r="T33" i="2"/>
  <c r="T29" i="2"/>
  <c r="T27" i="2"/>
  <c r="T24" i="2"/>
  <c r="T28" i="2"/>
  <c r="T30" i="2"/>
  <c r="T31" i="2"/>
  <c r="T32" i="2"/>
  <c r="T20" i="2"/>
  <c r="U29" i="2" l="1"/>
  <c r="U26" i="2"/>
  <c r="U33" i="2"/>
  <c r="U30" i="2"/>
  <c r="U32" i="2"/>
  <c r="U25" i="2"/>
  <c r="U31" i="2"/>
  <c r="U28" i="2"/>
  <c r="U24" i="2"/>
  <c r="V23" i="2"/>
  <c r="U27" i="2"/>
  <c r="V10" i="2"/>
  <c r="V11" i="2"/>
  <c r="V13" i="2"/>
  <c r="V14" i="2"/>
  <c r="V12" i="2"/>
  <c r="V19" i="2"/>
  <c r="V18" i="2"/>
  <c r="V17" i="2"/>
  <c r="V15" i="2"/>
  <c r="V16" i="2"/>
  <c r="U20" i="2"/>
  <c r="T34" i="2"/>
  <c r="V20" i="2" l="1"/>
  <c r="V33" i="2"/>
  <c r="V31" i="2"/>
  <c r="V26" i="2"/>
  <c r="V24" i="2"/>
  <c r="V32" i="2"/>
  <c r="V28" i="2"/>
  <c r="V29" i="2"/>
  <c r="V25" i="2"/>
  <c r="V30" i="2"/>
  <c r="V27" i="2"/>
  <c r="U34" i="2"/>
  <c r="V34" i="2" l="1"/>
</calcChain>
</file>

<file path=xl/comments1.xml><?xml version="1.0" encoding="utf-8"?>
<comments xmlns="http://schemas.openxmlformats.org/spreadsheetml/2006/main">
  <authors>
    <author>John Fetrow VMD, MBA</author>
    <author>John Fetrow</author>
    <author>jfetrow</author>
  </authors>
  <commentList>
    <comment ref="C5" authorId="0">
      <text>
        <r>
          <rPr>
            <b/>
            <sz val="8"/>
            <color indexed="81"/>
            <rFont val="Tahoma"/>
            <family val="2"/>
          </rPr>
          <t>Dies ist eine grobe Schätzung des Leistungsverlustes durch subklinische Infektionen und basiert auf dem mittleren Herdenzellgehalt, gerundet auf die nächsten 50.000</t>
        </r>
      </text>
    </comment>
    <comment ref="B13" authorId="1">
      <text>
        <r>
          <rPr>
            <b/>
            <sz val="8"/>
            <color indexed="81"/>
            <rFont val="Tahoma"/>
            <family val="2"/>
          </rPr>
          <t>The spreadsheet rounds the goal entered here to the closest multiple of 50,000.  Thus if you enter 180, it is the same as entering 200.  enter 165 and it gets rounded to 150.This is done for simplicity of modeling purposes.</t>
        </r>
        <r>
          <rPr>
            <sz val="8"/>
            <color indexed="81"/>
            <rFont val="Tahoma"/>
            <family val="2"/>
          </rPr>
          <t xml:space="preserve">
</t>
        </r>
      </text>
    </comment>
    <comment ref="G13" authorId="0">
      <text>
        <r>
          <rPr>
            <b/>
            <sz val="8"/>
            <color indexed="81"/>
            <rFont val="Tahoma"/>
            <family val="2"/>
          </rPr>
          <t>normalerweise weniger als 1% pro Jahr</t>
        </r>
        <r>
          <rPr>
            <sz val="8"/>
            <color indexed="81"/>
            <rFont val="Tahoma"/>
            <family val="2"/>
          </rPr>
          <t xml:space="preserve">
</t>
        </r>
      </text>
    </comment>
    <comment ref="B14" authorId="1">
      <text>
        <r>
          <rPr>
            <b/>
            <sz val="8"/>
            <color indexed="81"/>
            <rFont val="Tahoma"/>
            <family val="2"/>
          </rPr>
          <t>The spreadsheet rounds the goal entered here to the closest multiple of 50,000.  Thus if you enter 180, it is the same as entering 200.  enter 165 and it gets rounded to 150.This is done for simplicity of modeling purposes.</t>
        </r>
        <r>
          <rPr>
            <sz val="8"/>
            <color indexed="81"/>
            <rFont val="Tahoma"/>
            <family val="2"/>
          </rPr>
          <t xml:space="preserve">
</t>
        </r>
      </text>
    </comment>
    <comment ref="B15" authorId="0">
      <text>
        <r>
          <rPr>
            <b/>
            <sz val="8"/>
            <color indexed="81"/>
            <rFont val="Tahoma"/>
            <family val="2"/>
          </rPr>
          <t>normalerweise weniger als 2%  pro Monat</t>
        </r>
      </text>
    </comment>
    <comment ref="G15" authorId="0">
      <text>
        <r>
          <rPr>
            <b/>
            <sz val="8"/>
            <color indexed="81"/>
            <rFont val="Tahoma"/>
            <family val="2"/>
          </rPr>
          <t>normalerweise weniger als 5%  pro Jahr</t>
        </r>
      </text>
    </comment>
    <comment ref="I19" authorId="1">
      <text>
        <r>
          <rPr>
            <b/>
            <sz val="8"/>
            <color indexed="81"/>
            <rFont val="Tahoma"/>
            <family val="2"/>
          </rPr>
          <t>Dies sind die Kosten für zusätzlichen Futter, zur Steigerung der Herdenproduktionsleistung um einen hL Milch</t>
        </r>
      </text>
    </comment>
    <comment ref="I21" authorId="2">
      <text>
        <r>
          <rPr>
            <b/>
            <sz val="8"/>
            <color indexed="81"/>
            <rFont val="Tahoma"/>
            <family val="2"/>
          </rPr>
          <t>average of added days open due to mastitis before pregnancy: Effect of timing of first clinical mastitis occurrence on lactational and reproductive performance of Holstein dairy cows Santos et al, Ani. Repro. Sci 2004</t>
        </r>
        <r>
          <rPr>
            <sz val="8"/>
            <color indexed="81"/>
            <rFont val="Tahoma"/>
            <family val="2"/>
          </rPr>
          <t xml:space="preserve">
</t>
        </r>
      </text>
    </comment>
    <comment ref="B23" authorId="2">
      <text>
        <r>
          <rPr>
            <b/>
            <sz val="8"/>
            <color indexed="81"/>
            <rFont val="Tahoma"/>
            <family val="2"/>
          </rPr>
          <t>Die hier angegebene Zellzahl ist auf die nächsten Die hier angegebene Zellzahl ist auf die nächsten 50.000 gerundet, um die verlorene Milch zu berechnen. Die ökonomische Berechung basiert auf der Milchpreisdifferenz, die in H18 eingetragen wurde.</t>
        </r>
      </text>
    </comment>
    <comment ref="E23" authorId="2">
      <text>
        <r>
          <rPr>
            <b/>
            <sz val="8"/>
            <color indexed="81"/>
            <rFont val="Tahoma"/>
            <family val="2"/>
          </rPr>
          <t>Die hier angegebene Zellzahl ist auf die nächsten 50.000 gerundet, um die verlorene Milch zu berechnen. Die ökonomische Berechung basiert auf der Milchpreisdifferenz, die in H18 eingetragen wurde.</t>
        </r>
      </text>
    </comment>
    <comment ref="I26" authorId="0">
      <text>
        <r>
          <rPr>
            <b/>
            <sz val="8"/>
            <color indexed="81"/>
            <rFont val="Tahoma"/>
            <family val="2"/>
          </rPr>
          <t>Dies sind die Kosten für Fütterung und Pflege für die neue Ersatzfärse vom Kaufdatum bis zum Abkalbedatum, d.h. die Extrakosten neben des Kaufpreises, die erforderlich sind  bis sie in die laktierende Herde eingegliedert werden kann.</t>
        </r>
      </text>
    </comment>
    <comment ref="I31" authorId="0">
      <text>
        <r>
          <rPr>
            <b/>
            <sz val="8"/>
            <color indexed="81"/>
            <rFont val="Tahoma"/>
            <family val="2"/>
          </rPr>
          <t xml:space="preserve">Dieser Schätzwert nimm eine gradlinigen Werteverlust der Kuh während ihr Lebens </t>
        </r>
        <r>
          <rPr>
            <sz val="8"/>
            <color indexed="81"/>
            <rFont val="Tahoma"/>
            <family val="2"/>
          </rPr>
          <t xml:space="preserve">
</t>
        </r>
      </text>
    </comment>
    <comment ref="C39" authorId="0">
      <text>
        <r>
          <rPr>
            <b/>
            <sz val="8"/>
            <color indexed="81"/>
            <rFont val="Tahoma"/>
            <family val="2"/>
          </rPr>
          <t>Wenn die Milch weggeschüttet wird, sollte dieser Wert gleich Null gesetzt werden. 
Wird die komplette gesperrte Milch an Kälber verfüttert, hat sie evtl. noch einen gewissen Wert, z.B. 20 Euro/ hL.</t>
        </r>
      </text>
    </comment>
    <comment ref="C41" authorId="2">
      <text>
        <r>
          <rPr>
            <b/>
            <sz val="8"/>
            <color indexed="81"/>
            <rFont val="Tahoma"/>
            <family val="2"/>
          </rPr>
          <t xml:space="preserve">Referenzen für geschätzen Milchverlust finden Sie in diesen Veröffentlichungen: 
Schukken: J. Dairy Sci. 92 :3091–3105
Bar: J. Dairy Sci. 91:2205–2214
Bar: J. Dairy Sci. 90:4643–4653
Rajala-Schulz: J Dairy Sci 82:1213–1220
</t>
        </r>
      </text>
    </comment>
    <comment ref="C46" authorId="0">
      <text>
        <r>
          <rPr>
            <b/>
            <sz val="8"/>
            <color indexed="81"/>
            <rFont val="Tahoma"/>
            <family val="2"/>
          </rPr>
          <t>Dies ist der geschätzte Anteil an der tatsächlichen 305 Tage Leistung der Kuh, welcher während der Wartezeit und der akuten Phase der klinischen Mastitis verloren geht.</t>
        </r>
      </text>
    </comment>
  </commentList>
</comments>
</file>

<file path=xl/sharedStrings.xml><?xml version="1.0" encoding="utf-8"?>
<sst xmlns="http://schemas.openxmlformats.org/spreadsheetml/2006/main" count="123" uniqueCount="111">
  <si>
    <t>College of Veterinary Medicine, University of Minnesota</t>
  </si>
  <si>
    <t>estimated</t>
  </si>
  <si>
    <t>2nd and older cows</t>
  </si>
  <si>
    <t>loss</t>
  </si>
  <si>
    <t>difference</t>
  </si>
  <si>
    <t>goal</t>
  </si>
  <si>
    <t>actual</t>
  </si>
  <si>
    <t>LGSCC</t>
  </si>
  <si>
    <t>at 180</t>
  </si>
  <si>
    <t>at 400</t>
  </si>
  <si>
    <t>slope</t>
  </si>
  <si>
    <t>heifers</t>
  </si>
  <si>
    <t>Estimates of prevalence by LGSCC by herd SCC for heifers and older cows</t>
  </si>
  <si>
    <t>There is no data entry on this page. It is for calculations only.</t>
  </si>
  <si>
    <t>herd size for calculation</t>
  </si>
  <si>
    <t>total</t>
  </si>
  <si>
    <t>actual SCC older cows</t>
  </si>
  <si>
    <t>actual SCC 1st. lact</t>
  </si>
  <si>
    <t>goal SCC for 1st lactation</t>
  </si>
  <si>
    <t>goal SCC for 2nd and older</t>
  </si>
  <si>
    <t>Jährl. Verluste durch Mastitiden über einem gewünschten Grenzwert</t>
  </si>
  <si>
    <t>Beispiel: Milchviehbetrieb</t>
  </si>
  <si>
    <t>Klinik</t>
  </si>
  <si>
    <t>Verluste durch übermässig viele klin. Mastitiden</t>
  </si>
  <si>
    <t>Produktion</t>
  </si>
  <si>
    <t>Milchverluste pro Jahr in Dollar, durch Einfluss subklin. Mastitiden auf die Leistung</t>
  </si>
  <si>
    <t>Prämien</t>
  </si>
  <si>
    <t>Verluste durch fehlende Prämien</t>
  </si>
  <si>
    <t>Merz/Abgäng</t>
  </si>
  <si>
    <t>Verluste durch übermässiges Merzen und Abgänge</t>
  </si>
  <si>
    <t>Einträge nur in gelben Zellen machen</t>
  </si>
  <si>
    <t>Somat. Zellgehalt (Herde) (SCC)</t>
  </si>
  <si>
    <t>Klin. Fälle pro Monat (% der Herde)</t>
  </si>
  <si>
    <t>Abgänge durch Mastitis (Kühe pro Jahr)</t>
  </si>
  <si>
    <t>prozent. Abgänge durch Mastitis</t>
  </si>
  <si>
    <t>Merzungen wg. Mastitis (Kühe pro Jahr)</t>
  </si>
  <si>
    <t>Anzahl an Erstlaktierenden</t>
  </si>
  <si>
    <t>Anzahl laktierender Kühe</t>
  </si>
  <si>
    <t>Gesamtdurchschnitt laktierender Tiere</t>
  </si>
  <si>
    <t>durchschnittl. Anzahl trockensteh. Kühe</t>
  </si>
  <si>
    <t>Herdengröße (Laktierende und Trockenstehende)</t>
  </si>
  <si>
    <t>durchschn. Milchproduktion pro Kuh/Tag (kg pro Kuh)</t>
  </si>
  <si>
    <t>tatsächliche klin. Fälle pro Monat (% der lakt. Kühe)</t>
  </si>
  <si>
    <t>Anzahl klinischer Mastitiden pro Monat</t>
  </si>
  <si>
    <t>Trockensteher %</t>
  </si>
  <si>
    <t>tatsächl. Abgänge durch Mastitis (tote Kühe pro Jahr)</t>
  </si>
  <si>
    <t>prozentuale, jährl. Abgangsrate durch Mastitis</t>
  </si>
  <si>
    <t>tatsächl. Merzungen wg. Mastitis (Kühe pro Jahr)</t>
  </si>
  <si>
    <t>zusätzliche Fälle pro Jahr</t>
  </si>
  <si>
    <t>Milchpreisdifferenz pro hL zwischen tatsächlichem SCC und Ziel-SCC</t>
  </si>
  <si>
    <t>Arbeitskosten pro Stunde</t>
  </si>
  <si>
    <t xml:space="preserve">Kosten für eine Ersatzfärse </t>
  </si>
  <si>
    <t>Schlachtwert einer gemerzten Kuh</t>
  </si>
  <si>
    <t>Kosten für die Entsorgung einer toten Kuh</t>
  </si>
  <si>
    <t>Verbrauchskosten für das Ersatztier bis zum Abkalben</t>
  </si>
  <si>
    <t xml:space="preserve">Verzögerungskosten bei der Schließung der entstandenen Lücke </t>
  </si>
  <si>
    <r>
      <t>Tage zwischen der Merzung einer Kuh und dem Melkbeginn der Ersatzkuh</t>
    </r>
    <r>
      <rPr>
        <sz val="12"/>
        <color indexed="14"/>
        <rFont val="Comic Sans MS"/>
        <family val="4"/>
      </rPr>
      <t xml:space="preserve"> </t>
    </r>
  </si>
  <si>
    <t>Bargeldkosten einer Ausmerzung</t>
  </si>
  <si>
    <t>Charakteristika einer klinischen Mastitis</t>
  </si>
  <si>
    <t>subakut</t>
  </si>
  <si>
    <t>akut-fiebrig</t>
  </si>
  <si>
    <t>Anteil aller klinischen Fälle</t>
  </si>
  <si>
    <t>Behandlungstage</t>
  </si>
  <si>
    <t>Wartezeit nach der letzten Behandlung (Tage)</t>
  </si>
  <si>
    <t>kg gesperrte Milch aufgrund der Wartezeit</t>
  </si>
  <si>
    <t>Kosten eines "durchschnittlichen" Falles klinischer Mastitis</t>
  </si>
  <si>
    <t>Milchverlust während des klinischen Fall</t>
  </si>
  <si>
    <t>Milch Einkommensverlust während des klinischen Fall</t>
  </si>
  <si>
    <t>totaler Milch einkommenverlust durch einen klinischen Fall</t>
  </si>
  <si>
    <t>Milchverlust (kg)</t>
  </si>
  <si>
    <t>Arbeitskosten</t>
  </si>
  <si>
    <t>Kosten pro Fall</t>
  </si>
  <si>
    <t>weitere Ausgaben pro Fall (Kultur, Tierarzt usw.)</t>
  </si>
  <si>
    <t xml:space="preserve">kg Milchverlust pro Tag durch Überschreiten d. gewün. Grenzwertes </t>
  </si>
  <si>
    <t>Darstellung der subklinischen Produktionsverluste</t>
  </si>
  <si>
    <t>Darstellung der Kosten für Merzung und Todesfälle</t>
  </si>
  <si>
    <t>Kosten für überdurchschn. Merzungen wg. Mastitis pro Jahr</t>
  </si>
  <si>
    <t>zusätzlich gemerzte Kühe</t>
  </si>
  <si>
    <t>Kosten pro zusätzlicher Merzung</t>
  </si>
  <si>
    <t>Kosten zusätzlicher Todefälle durch Mastitis pro Jahr</t>
  </si>
  <si>
    <t>Kosten für zusätzliche Abgänge</t>
  </si>
  <si>
    <t>tatsächliche 2.+ Lakt. SCC</t>
  </si>
  <si>
    <t>tatsächl.1. Lakt. SCC</t>
  </si>
  <si>
    <r>
      <t>Arbeitszeit (Std.) für Behandlung,</t>
    </r>
    <r>
      <rPr>
        <sz val="12"/>
        <color indexed="14"/>
        <rFont val="Comic Sans MS"/>
        <family val="4"/>
      </rPr>
      <t xml:space="preserve"> </t>
    </r>
    <r>
      <rPr>
        <sz val="12"/>
        <rFont val="Comic Sans MS"/>
        <family val="4"/>
      </rPr>
      <t>Abtrennung, Pflege, Melken</t>
    </r>
  </si>
  <si>
    <t>Durchschnittswert einer Kuh</t>
  </si>
  <si>
    <t>copyright 2012, John Fetrow VMD, MBA</t>
  </si>
  <si>
    <t>version 2012MAR07</t>
  </si>
  <si>
    <t>Milchpreis per hL* (für tatsächl. SCC)</t>
  </si>
  <si>
    <t>Grenzkosten für Futter pro hL*</t>
  </si>
  <si>
    <t>Gewünschter Mastitisausmaß i.d. Herde (Ziele)</t>
  </si>
  <si>
    <t>SCC Ziel für 1. Lakt.</t>
  </si>
  <si>
    <t>SCC Ziel für 2.+ Lakt.</t>
  </si>
  <si>
    <t>prozent. Merzungen wg. Mastitis</t>
  </si>
  <si>
    <t>prozentuale jährl. Merzungsrate wg. Mastitis</t>
  </si>
  <si>
    <t>verlängerter Güstzeit nach einem Fall klinischer Mastitis in d. Frühlaktation</t>
  </si>
  <si>
    <t>Kosten/Verlust für jeden Tag der verlängerten Güstzeit</t>
  </si>
  <si>
    <t>% klinischer Fälle in Frühlaktation</t>
  </si>
  <si>
    <t>Kosten für Medikamente usw. für die Behandlung</t>
  </si>
  <si>
    <t>Milchwert/hL* bei Sperrung (Verfütterung an Kälber erlaubt)</t>
  </si>
  <si>
    <t>Milkverlust nach dem klinischen Fall</t>
  </si>
  <si>
    <t>Milch Einkommensverlust nach dem klinischen Fall</t>
  </si>
  <si>
    <t>proz. Anteil der 305 Tage Leistung</t>
  </si>
  <si>
    <t>Kosten der verlängerten Güstzeit</t>
  </si>
  <si>
    <t>kg Milchverlust durch zu hohe Zellzahlen (SCC) bei Erstlakt./Tag</t>
  </si>
  <si>
    <t>kg Milchverlust durch zu hohe Zellzahlen (SCC) bei Kühen/Tag</t>
  </si>
  <si>
    <t>Todesfälle/Jahr über d. Durchschn. ( Anzahl Kühe)</t>
  </si>
  <si>
    <r>
      <t>*</t>
    </r>
    <r>
      <rPr>
        <b/>
        <sz val="12"/>
        <rFont val="Comic Sans MS"/>
        <family val="4"/>
      </rPr>
      <t>hL</t>
    </r>
    <r>
      <rPr>
        <sz val="12"/>
        <rFont val="Comic Sans MS"/>
        <family val="4"/>
      </rPr>
      <t xml:space="preserve"> = Hektoliter = 100L</t>
    </r>
  </si>
  <si>
    <r>
      <rPr>
        <b/>
        <sz val="12"/>
        <rFont val="Comic Sans MS"/>
        <family val="4"/>
      </rPr>
      <t xml:space="preserve">SCC </t>
    </r>
    <r>
      <rPr>
        <sz val="12"/>
        <rFont val="Comic Sans MS"/>
        <family val="4"/>
      </rPr>
      <t>= Zellzahl</t>
    </r>
  </si>
  <si>
    <t>Gesamtverluste pro Jahr oberhalb d. gewünsch. Grenzwert</t>
  </si>
  <si>
    <t>Verluste pro Kuh/ Jahr oberhalb d. gewünsch. Grenzwert</t>
  </si>
  <si>
    <t>Herdenbeschreibung (Ist-Wert)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</si>
</sst>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quot;$&quot;* #,##0.00_);_(&quot;$&quot;* \(#,##0.00\);_(&quot;$&quot;* &quot;-&quot;??_);_(@_)"/>
    <numFmt numFmtId="165" formatCode="_(* #,##0.00_);_(* \(#,##0.00\);_(* &quot;-&quot;??_);_(@_)"/>
    <numFmt numFmtId="166" formatCode="_(* #,##0_);_(* \(#,##0\);_(* &quot;-&quot;??_);_(@_)"/>
    <numFmt numFmtId="167" formatCode="0.0%"/>
    <numFmt numFmtId="168" formatCode="_(* #,##0.0_);_(* \(#,##0.0\);_(* &quot;-&quot;??_);_(@_)"/>
    <numFmt numFmtId="169" formatCode="_(* #,##0.000000_);_(* \(#,##0.000000\);_(* &quot;-&quot;??_);_(@_)"/>
    <numFmt numFmtId="170" formatCode="0.0"/>
    <numFmt numFmtId="171" formatCode="_-[$€-C07]\ * #,##0.00_-;\-[$€-C07]\ * #,##0.00_-;_-[$€-C07]\ * &quot;-&quot;??_-;_-@_-"/>
    <numFmt numFmtId="172" formatCode="_-[$€-C07]\ * #,##0_-;\-[$€-C07]\ * #,##0_-;_-[$€-C07]\ * &quot;-&quot;??_-;_-@_-"/>
    <numFmt numFmtId="173" formatCode="_-[$€-C07]\ * #,##0_-;\-[$€-C07]\ * #,##0_-;_-[$€-C07]\ * &quot;-&quot;_-;_-@_-"/>
    <numFmt numFmtId="174" formatCode="_-* #,##0\ [$€-407]_-;\-* #,##0\ [$€-407]_-;_-* &quot;-&quot;\ [$€-407]_-;_-@_-"/>
    <numFmt numFmtId="175" formatCode="_([$€-2]\ * #,##0_);_([$€-2]\ * \(#,##0\);_([$€-2]\ * &quot;-&quot;??_);_(@_)"/>
  </numFmts>
  <fonts count="19" x14ac:knownFonts="1">
    <font>
      <sz val="12"/>
      <name val="Times New Roman"/>
    </font>
    <font>
      <sz val="12"/>
      <name val="Times New Roman"/>
      <family val="1"/>
    </font>
    <font>
      <b/>
      <sz val="12"/>
      <name val="Times New Roman"/>
      <family val="1"/>
    </font>
    <font>
      <sz val="12"/>
      <name val="Times New Roman"/>
      <family val="1"/>
    </font>
    <font>
      <sz val="8"/>
      <color indexed="81"/>
      <name val="Tahoma"/>
      <family val="2"/>
    </font>
    <font>
      <b/>
      <sz val="8"/>
      <color indexed="81"/>
      <name val="Tahoma"/>
      <family val="2"/>
    </font>
    <font>
      <sz val="10"/>
      <name val="Times New Roman"/>
      <family val="1"/>
    </font>
    <font>
      <sz val="9"/>
      <name val="Times New Roman"/>
      <family val="1"/>
    </font>
    <font>
      <b/>
      <sz val="12"/>
      <color rgb="FFFF0000"/>
      <name val="Times New Roman"/>
      <family val="1"/>
    </font>
    <font>
      <b/>
      <sz val="12"/>
      <color rgb="FF002060"/>
      <name val="Times New Roman"/>
      <family val="1"/>
    </font>
    <font>
      <sz val="12"/>
      <color rgb="FF002060"/>
      <name val="Times New Roman"/>
      <family val="1"/>
    </font>
    <font>
      <b/>
      <sz val="14"/>
      <name val="Comic Sans MS"/>
      <family val="4"/>
    </font>
    <font>
      <sz val="12"/>
      <name val="Comic Sans MS"/>
      <family val="4"/>
    </font>
    <font>
      <b/>
      <sz val="10"/>
      <name val="Comic Sans MS"/>
      <family val="4"/>
    </font>
    <font>
      <b/>
      <i/>
      <sz val="12"/>
      <name val="Comic Sans MS"/>
      <family val="4"/>
    </font>
    <font>
      <b/>
      <sz val="12"/>
      <name val="Comic Sans MS"/>
      <family val="4"/>
    </font>
    <font>
      <b/>
      <sz val="12"/>
      <color indexed="12"/>
      <name val="Comic Sans MS"/>
      <family val="4"/>
    </font>
    <font>
      <sz val="12"/>
      <color indexed="8"/>
      <name val="Comic Sans MS"/>
      <family val="4"/>
    </font>
    <font>
      <sz val="12"/>
      <color indexed="14"/>
      <name val="Comic Sans MS"/>
      <family val="4"/>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46"/>
        <bgColor indexed="64"/>
      </patternFill>
    </fill>
    <fill>
      <patternFill patternType="solid">
        <fgColor indexed="11"/>
        <bgColor indexed="64"/>
      </patternFill>
    </fill>
    <fill>
      <patternFill patternType="solid">
        <fgColor indexed="4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55">
    <xf numFmtId="0" fontId="0" fillId="0" borderId="0" xfId="0"/>
    <xf numFmtId="0" fontId="2" fillId="0" borderId="0" xfId="0" applyFont="1"/>
    <xf numFmtId="0" fontId="0" fillId="0" borderId="0" xfId="0" applyBorder="1"/>
    <xf numFmtId="0" fontId="0" fillId="0" borderId="9" xfId="0" applyBorder="1"/>
    <xf numFmtId="0" fontId="2" fillId="7" borderId="0" xfId="0" applyFont="1" applyFill="1"/>
    <xf numFmtId="0" fontId="0" fillId="7" borderId="0" xfId="0" applyFill="1"/>
    <xf numFmtId="0" fontId="2" fillId="0" borderId="0" xfId="0" applyFont="1" applyAlignment="1">
      <alignment horizontal="center"/>
    </xf>
    <xf numFmtId="0" fontId="2" fillId="0" borderId="9" xfId="0" applyFont="1" applyBorder="1" applyAlignment="1">
      <alignment horizontal="center"/>
    </xf>
    <xf numFmtId="0" fontId="2" fillId="0" borderId="0" xfId="0" applyFont="1" applyBorder="1" applyAlignment="1">
      <alignment horizontal="center"/>
    </xf>
    <xf numFmtId="0" fontId="2" fillId="0" borderId="12" xfId="0" applyFont="1" applyBorder="1" applyAlignment="1">
      <alignment horizontal="center"/>
    </xf>
    <xf numFmtId="167" fontId="0" fillId="0" borderId="0" xfId="3" applyNumberFormat="1" applyFont="1"/>
    <xf numFmtId="0" fontId="2" fillId="0" borderId="13" xfId="0" applyFont="1" applyBorder="1"/>
    <xf numFmtId="9" fontId="0" fillId="0" borderId="13" xfId="3" applyNumberFormat="1" applyFont="1" applyFill="1" applyBorder="1"/>
    <xf numFmtId="169" fontId="0" fillId="0" borderId="0" xfId="1" applyNumberFormat="1" applyFont="1" applyBorder="1"/>
    <xf numFmtId="167" fontId="0" fillId="0" borderId="13" xfId="3" applyNumberFormat="1" applyFont="1" applyBorder="1"/>
    <xf numFmtId="0" fontId="2" fillId="0" borderId="0" xfId="0" applyFont="1" applyBorder="1"/>
    <xf numFmtId="9" fontId="0" fillId="0" borderId="0" xfId="3" applyNumberFormat="1" applyFont="1" applyFill="1" applyBorder="1"/>
    <xf numFmtId="167" fontId="0" fillId="0" borderId="0" xfId="3" applyNumberFormat="1" applyFont="1" applyBorder="1"/>
    <xf numFmtId="9" fontId="3" fillId="0" borderId="0" xfId="3" applyNumberFormat="1" applyFont="1" applyFill="1" applyBorder="1"/>
    <xf numFmtId="167" fontId="0" fillId="0" borderId="9" xfId="3" applyNumberFormat="1" applyFont="1" applyBorder="1"/>
    <xf numFmtId="0" fontId="2" fillId="0" borderId="9" xfId="0" applyFont="1" applyBorder="1"/>
    <xf numFmtId="9" fontId="0" fillId="0" borderId="9" xfId="3" applyNumberFormat="1" applyFont="1" applyFill="1" applyBorder="1"/>
    <xf numFmtId="169" fontId="0" fillId="0" borderId="9" xfId="1" applyNumberFormat="1" applyFont="1" applyBorder="1"/>
    <xf numFmtId="10" fontId="0" fillId="0" borderId="0" xfId="3" applyNumberFormat="1" applyFont="1"/>
    <xf numFmtId="9" fontId="0" fillId="0" borderId="0" xfId="3" applyFont="1" applyFill="1" applyBorder="1"/>
    <xf numFmtId="165" fontId="0" fillId="0" borderId="0" xfId="1" applyFont="1"/>
    <xf numFmtId="10" fontId="2" fillId="0" borderId="0" xfId="3" applyNumberFormat="1" applyFont="1" applyAlignment="1">
      <alignment horizontal="center"/>
    </xf>
    <xf numFmtId="167" fontId="2" fillId="0" borderId="0" xfId="3" applyNumberFormat="1" applyFont="1" applyAlignment="1">
      <alignment horizontal="center"/>
    </xf>
    <xf numFmtId="10" fontId="2" fillId="0" borderId="9" xfId="3" applyNumberFormat="1" applyFont="1" applyBorder="1" applyAlignment="1">
      <alignment horizontal="center"/>
    </xf>
    <xf numFmtId="166" fontId="2" fillId="0" borderId="9" xfId="1" applyNumberFormat="1" applyFont="1" applyBorder="1" applyAlignment="1">
      <alignment horizontal="center"/>
    </xf>
    <xf numFmtId="9" fontId="0" fillId="0" borderId="0" xfId="3" applyNumberFormat="1" applyFont="1" applyFill="1"/>
    <xf numFmtId="169" fontId="0" fillId="0" borderId="14" xfId="1" applyNumberFormat="1" applyFont="1" applyBorder="1"/>
    <xf numFmtId="9" fontId="0" fillId="0" borderId="15" xfId="3" applyNumberFormat="1" applyFont="1" applyFill="1" applyBorder="1"/>
    <xf numFmtId="169" fontId="0" fillId="0" borderId="12" xfId="1" applyNumberFormat="1" applyFont="1" applyBorder="1"/>
    <xf numFmtId="167" fontId="0" fillId="0" borderId="0" xfId="3" applyNumberFormat="1" applyFont="1" applyFill="1" applyBorder="1"/>
    <xf numFmtId="0" fontId="6" fillId="0" borderId="0" xfId="0" applyFont="1"/>
    <xf numFmtId="0" fontId="7" fillId="0" borderId="0" xfId="0" applyFont="1"/>
    <xf numFmtId="2" fontId="0" fillId="0" borderId="0" xfId="0" applyNumberFormat="1"/>
    <xf numFmtId="164" fontId="0" fillId="0" borderId="0" xfId="0" applyNumberFormat="1"/>
    <xf numFmtId="165" fontId="8" fillId="0" borderId="0" xfId="1" applyFont="1"/>
    <xf numFmtId="0" fontId="8" fillId="0" borderId="0" xfId="0" applyFont="1"/>
    <xf numFmtId="165" fontId="0" fillId="0" borderId="0" xfId="1" applyNumberFormat="1" applyFont="1"/>
    <xf numFmtId="165" fontId="0" fillId="0" borderId="9" xfId="1" applyNumberFormat="1" applyFont="1" applyBorder="1"/>
    <xf numFmtId="0" fontId="9" fillId="0" borderId="0" xfId="0" applyFont="1" applyAlignment="1">
      <alignment horizontal="center"/>
    </xf>
    <xf numFmtId="0" fontId="9" fillId="0" borderId="0" xfId="0" applyFont="1" applyAlignment="1">
      <alignment horizontal="left"/>
    </xf>
    <xf numFmtId="0" fontId="10" fillId="0" borderId="0" xfId="0" applyFont="1"/>
    <xf numFmtId="0" fontId="11" fillId="0" borderId="0" xfId="0" applyFont="1"/>
    <xf numFmtId="0" fontId="12" fillId="0" borderId="0" xfId="0" applyFont="1"/>
    <xf numFmtId="15" fontId="12" fillId="0" borderId="0" xfId="0" applyNumberFormat="1" applyFont="1"/>
    <xf numFmtId="0" fontId="13" fillId="0" borderId="0" xfId="0" applyFont="1"/>
    <xf numFmtId="0" fontId="11" fillId="3" borderId="0" xfId="0" applyFont="1" applyFill="1" applyProtection="1">
      <protection locked="0"/>
    </xf>
    <xf numFmtId="0" fontId="12" fillId="3" borderId="0" xfId="0" applyFont="1" applyFill="1" applyProtection="1">
      <protection locked="0"/>
    </xf>
    <xf numFmtId="0" fontId="14" fillId="3" borderId="0" xfId="0" applyFont="1" applyFill="1"/>
    <xf numFmtId="0" fontId="12" fillId="3" borderId="0" xfId="0" applyFont="1" applyFill="1"/>
    <xf numFmtId="0" fontId="15" fillId="4" borderId="2" xfId="0" applyFont="1" applyFill="1" applyBorder="1" applyAlignment="1">
      <alignment horizontal="center"/>
    </xf>
    <xf numFmtId="0" fontId="15" fillId="2" borderId="2" xfId="0" applyFont="1" applyFill="1" applyBorder="1"/>
    <xf numFmtId="0" fontId="12" fillId="2" borderId="2" xfId="0" applyFont="1" applyFill="1" applyBorder="1"/>
    <xf numFmtId="0" fontId="12" fillId="2" borderId="3" xfId="0" applyFont="1" applyFill="1" applyBorder="1"/>
    <xf numFmtId="0" fontId="15" fillId="5" borderId="0" xfId="0" applyFont="1" applyFill="1" applyBorder="1" applyAlignment="1">
      <alignment horizontal="center"/>
    </xf>
    <xf numFmtId="0" fontId="15" fillId="2" borderId="0" xfId="0" applyFont="1" applyFill="1" applyBorder="1"/>
    <xf numFmtId="0" fontId="12" fillId="2" borderId="0" xfId="0" applyFont="1" applyFill="1" applyBorder="1"/>
    <xf numFmtId="0" fontId="12" fillId="2" borderId="4" xfId="0" applyFont="1" applyFill="1" applyBorder="1"/>
    <xf numFmtId="0" fontId="15" fillId="3" borderId="0" xfId="0" applyFont="1" applyFill="1" applyBorder="1" applyAlignment="1">
      <alignment horizontal="center"/>
    </xf>
    <xf numFmtId="0" fontId="15" fillId="6" borderId="7" xfId="0" applyFont="1" applyFill="1" applyBorder="1" applyAlignment="1">
      <alignment horizontal="center"/>
    </xf>
    <xf numFmtId="0" fontId="15" fillId="2" borderId="7" xfId="0" applyFont="1" applyFill="1" applyBorder="1"/>
    <xf numFmtId="0" fontId="12" fillId="2" borderId="7" xfId="0" applyFont="1" applyFill="1" applyBorder="1"/>
    <xf numFmtId="0" fontId="12" fillId="2" borderId="8" xfId="0" applyFont="1" applyFill="1" applyBorder="1"/>
    <xf numFmtId="0" fontId="15" fillId="4" borderId="0" xfId="0" applyFont="1" applyFill="1" applyBorder="1"/>
    <xf numFmtId="0" fontId="12" fillId="4" borderId="0" xfId="0" applyFont="1" applyFill="1" applyBorder="1"/>
    <xf numFmtId="0" fontId="12" fillId="4" borderId="4" xfId="0" applyFont="1" applyFill="1" applyBorder="1"/>
    <xf numFmtId="0" fontId="12" fillId="0" borderId="0" xfId="0" applyFont="1" applyFill="1" applyBorder="1"/>
    <xf numFmtId="0" fontId="15" fillId="4" borderId="7" xfId="0" applyFont="1" applyFill="1" applyBorder="1"/>
    <xf numFmtId="0" fontId="12" fillId="4" borderId="7" xfId="0" applyFont="1" applyFill="1" applyBorder="1"/>
    <xf numFmtId="0" fontId="12" fillId="4" borderId="8" xfId="0" applyFont="1" applyFill="1" applyBorder="1"/>
    <xf numFmtId="0" fontId="15" fillId="0" borderId="0" xfId="0" applyFont="1"/>
    <xf numFmtId="0" fontId="15" fillId="0" borderId="1" xfId="0" applyFont="1" applyBorder="1"/>
    <xf numFmtId="0" fontId="12" fillId="0" borderId="2" xfId="0" applyFont="1" applyBorder="1"/>
    <xf numFmtId="0" fontId="12" fillId="0" borderId="3" xfId="0" applyFont="1" applyBorder="1"/>
    <xf numFmtId="0" fontId="16" fillId="3" borderId="5" xfId="0" applyFont="1" applyFill="1" applyBorder="1" applyProtection="1">
      <protection locked="0"/>
    </xf>
    <xf numFmtId="0" fontId="12" fillId="0" borderId="0" xfId="0" applyFont="1" applyBorder="1"/>
    <xf numFmtId="0" fontId="16" fillId="3" borderId="0" xfId="0" applyFont="1" applyFill="1" applyBorder="1" applyProtection="1">
      <protection locked="0"/>
    </xf>
    <xf numFmtId="0" fontId="12" fillId="0" borderId="4" xfId="0" applyFont="1" applyBorder="1"/>
    <xf numFmtId="0" fontId="15" fillId="0" borderId="0" xfId="0" applyFont="1" applyBorder="1"/>
    <xf numFmtId="167" fontId="12" fillId="2" borderId="0" xfId="3" applyNumberFormat="1" applyFont="1" applyFill="1" applyBorder="1"/>
    <xf numFmtId="167" fontId="16" fillId="3" borderId="6" xfId="3" applyNumberFormat="1" applyFont="1" applyFill="1" applyBorder="1" applyProtection="1">
      <protection locked="0"/>
    </xf>
    <xf numFmtId="0" fontId="12" fillId="0" borderId="7" xfId="0" applyFont="1" applyBorder="1"/>
    <xf numFmtId="167" fontId="12" fillId="2" borderId="7" xfId="3" applyNumberFormat="1" applyFont="1" applyFill="1" applyBorder="1"/>
    <xf numFmtId="0" fontId="17" fillId="0" borderId="0" xfId="0" applyFont="1"/>
    <xf numFmtId="0" fontId="12" fillId="2" borderId="0" xfId="0" applyFont="1" applyFill="1"/>
    <xf numFmtId="0" fontId="12" fillId="0" borderId="0" xfId="0" applyFont="1" applyFill="1"/>
    <xf numFmtId="0" fontId="12" fillId="3" borderId="9" xfId="0" applyFont="1" applyFill="1" applyBorder="1" applyProtection="1">
      <protection locked="0"/>
    </xf>
    <xf numFmtId="0" fontId="12" fillId="0" borderId="9" xfId="0" applyFont="1" applyBorder="1"/>
    <xf numFmtId="9" fontId="12" fillId="0" borderId="0" xfId="3" applyFont="1"/>
    <xf numFmtId="0" fontId="12" fillId="0" borderId="9" xfId="0" applyFont="1" applyFill="1" applyBorder="1"/>
    <xf numFmtId="0" fontId="15" fillId="2" borderId="9" xfId="0" applyFont="1" applyFill="1" applyBorder="1"/>
    <xf numFmtId="166" fontId="12" fillId="3" borderId="0" xfId="1" applyNumberFormat="1" applyFont="1" applyFill="1" applyProtection="1">
      <protection locked="0"/>
    </xf>
    <xf numFmtId="0" fontId="15" fillId="3" borderId="0" xfId="0" applyFont="1" applyFill="1" applyProtection="1">
      <protection locked="0"/>
    </xf>
    <xf numFmtId="0" fontId="15" fillId="0" borderId="0" xfId="0" applyFont="1" applyFill="1"/>
    <xf numFmtId="9" fontId="12" fillId="3" borderId="9" xfId="3" applyFont="1" applyFill="1" applyBorder="1" applyProtection="1">
      <protection locked="0"/>
    </xf>
    <xf numFmtId="167" fontId="12" fillId="2" borderId="0" xfId="3" applyNumberFormat="1" applyFont="1" applyFill="1"/>
    <xf numFmtId="1" fontId="12" fillId="2" borderId="9" xfId="0" applyNumberFormat="1" applyFont="1" applyFill="1" applyBorder="1"/>
    <xf numFmtId="0" fontId="12" fillId="2" borderId="9" xfId="0" applyFont="1" applyFill="1" applyBorder="1"/>
    <xf numFmtId="0" fontId="12" fillId="0" borderId="7" xfId="0" applyFont="1" applyFill="1" applyBorder="1"/>
    <xf numFmtId="0" fontId="13" fillId="0" borderId="10" xfId="0" applyFont="1" applyBorder="1" applyAlignment="1">
      <alignment horizontal="center"/>
    </xf>
    <xf numFmtId="0" fontId="13" fillId="0" borderId="9" xfId="0" applyFont="1" applyBorder="1" applyAlignment="1">
      <alignment horizontal="center"/>
    </xf>
    <xf numFmtId="9" fontId="12" fillId="3" borderId="5" xfId="3" applyFont="1" applyFill="1" applyBorder="1" applyProtection="1">
      <protection locked="0"/>
    </xf>
    <xf numFmtId="9" fontId="12" fillId="2" borderId="0" xfId="3" applyFont="1" applyFill="1" applyBorder="1"/>
    <xf numFmtId="0" fontId="12" fillId="3" borderId="5" xfId="0" applyFont="1" applyFill="1" applyBorder="1" applyProtection="1">
      <protection locked="0"/>
    </xf>
    <xf numFmtId="0" fontId="12" fillId="3" borderId="0" xfId="0" applyFont="1" applyFill="1" applyBorder="1" applyProtection="1">
      <protection locked="0"/>
    </xf>
    <xf numFmtId="166" fontId="12" fillId="2" borderId="5" xfId="1" applyNumberFormat="1" applyFont="1" applyFill="1" applyBorder="1"/>
    <xf numFmtId="166" fontId="12" fillId="2" borderId="0" xfId="1" applyNumberFormat="1" applyFont="1" applyFill="1" applyBorder="1"/>
    <xf numFmtId="1" fontId="12" fillId="3" borderId="5" xfId="0" applyNumberFormat="1" applyFont="1" applyFill="1" applyBorder="1" applyProtection="1">
      <protection locked="0"/>
    </xf>
    <xf numFmtId="1" fontId="12" fillId="3" borderId="0" xfId="0" applyNumberFormat="1" applyFont="1" applyFill="1" applyBorder="1" applyProtection="1">
      <protection locked="0"/>
    </xf>
    <xf numFmtId="168" fontId="12" fillId="3" borderId="5" xfId="1" applyNumberFormat="1" applyFont="1" applyFill="1" applyBorder="1" applyProtection="1">
      <protection locked="0"/>
    </xf>
    <xf numFmtId="168" fontId="12" fillId="3" borderId="0" xfId="1" applyNumberFormat="1" applyFont="1" applyFill="1" applyBorder="1" applyProtection="1">
      <protection locked="0"/>
    </xf>
    <xf numFmtId="0" fontId="15" fillId="4" borderId="11" xfId="0" applyFont="1" applyFill="1" applyBorder="1"/>
    <xf numFmtId="0" fontId="15" fillId="4" borderId="16" xfId="0" applyFont="1" applyFill="1" applyBorder="1"/>
    <xf numFmtId="0" fontId="12" fillId="7" borderId="7" xfId="0" applyFont="1" applyFill="1" applyBorder="1"/>
    <xf numFmtId="0" fontId="12" fillId="7" borderId="8" xfId="0" applyFont="1" applyFill="1" applyBorder="1"/>
    <xf numFmtId="165" fontId="12" fillId="2" borderId="5" xfId="1" applyFont="1" applyFill="1" applyBorder="1"/>
    <xf numFmtId="165" fontId="12" fillId="2" borderId="6" xfId="1" applyFont="1" applyFill="1" applyBorder="1"/>
    <xf numFmtId="0" fontId="12" fillId="2" borderId="5" xfId="0" applyFont="1" applyFill="1" applyBorder="1"/>
    <xf numFmtId="170" fontId="12" fillId="2" borderId="0" xfId="0" applyNumberFormat="1" applyFont="1" applyFill="1" applyBorder="1"/>
    <xf numFmtId="0" fontId="12" fillId="2" borderId="6" xfId="0" applyFont="1" applyFill="1" applyBorder="1"/>
    <xf numFmtId="171" fontId="12" fillId="3" borderId="0" xfId="2" applyNumberFormat="1" applyFont="1" applyFill="1" applyProtection="1">
      <protection locked="0"/>
    </xf>
    <xf numFmtId="171" fontId="12" fillId="3" borderId="9" xfId="2" applyNumberFormat="1" applyFont="1" applyFill="1" applyBorder="1" applyProtection="1">
      <protection locked="0"/>
    </xf>
    <xf numFmtId="172" fontId="12" fillId="3" borderId="0" xfId="2" applyNumberFormat="1" applyFont="1" applyFill="1" applyProtection="1">
      <protection locked="0"/>
    </xf>
    <xf numFmtId="173" fontId="12" fillId="0" borderId="7" xfId="0" applyNumberFormat="1" applyFont="1" applyFill="1" applyBorder="1"/>
    <xf numFmtId="173" fontId="12" fillId="0" borderId="0" xfId="0" applyNumberFormat="1" applyFont="1"/>
    <xf numFmtId="174" fontId="15" fillId="2" borderId="1" xfId="2" applyNumberFormat="1" applyFont="1" applyFill="1" applyBorder="1"/>
    <xf numFmtId="174" fontId="15" fillId="2" borderId="5" xfId="2" applyNumberFormat="1" applyFont="1" applyFill="1" applyBorder="1"/>
    <xf numFmtId="174" fontId="15" fillId="2" borderId="5" xfId="0" applyNumberFormat="1" applyFont="1" applyFill="1" applyBorder="1"/>
    <xf numFmtId="174" fontId="15" fillId="2" borderId="6" xfId="0" applyNumberFormat="1" applyFont="1" applyFill="1" applyBorder="1"/>
    <xf numFmtId="174" fontId="15" fillId="4" borderId="5" xfId="0" applyNumberFormat="1" applyFont="1" applyFill="1" applyBorder="1"/>
    <xf numFmtId="174" fontId="15" fillId="4" borderId="6" xfId="0" applyNumberFormat="1" applyFont="1" applyFill="1" applyBorder="1"/>
    <xf numFmtId="172" fontId="12" fillId="3" borderId="9" xfId="2" applyNumberFormat="1" applyFont="1" applyFill="1" applyBorder="1" applyProtection="1">
      <protection locked="0"/>
    </xf>
    <xf numFmtId="173" fontId="12" fillId="2" borderId="0" xfId="2" applyNumberFormat="1" applyFont="1" applyFill="1"/>
    <xf numFmtId="0" fontId="12" fillId="2" borderId="17" xfId="0" applyFont="1" applyFill="1" applyBorder="1"/>
    <xf numFmtId="171" fontId="12" fillId="2" borderId="5" xfId="2" applyNumberFormat="1" applyFont="1" applyFill="1" applyBorder="1"/>
    <xf numFmtId="171" fontId="12" fillId="3" borderId="0" xfId="2" applyNumberFormat="1" applyFont="1" applyFill="1" applyBorder="1" applyProtection="1">
      <protection locked="0"/>
    </xf>
    <xf numFmtId="172" fontId="12" fillId="2" borderId="0" xfId="2" applyNumberFormat="1" applyFont="1" applyFill="1" applyBorder="1"/>
    <xf numFmtId="172" fontId="12" fillId="2" borderId="10" xfId="2" applyNumberFormat="1" applyFont="1" applyFill="1" applyBorder="1"/>
    <xf numFmtId="172" fontId="12" fillId="2" borderId="9" xfId="2" applyNumberFormat="1" applyFont="1" applyFill="1" applyBorder="1"/>
    <xf numFmtId="0" fontId="12" fillId="3" borderId="10" xfId="0" applyFont="1" applyFill="1" applyBorder="1" applyProtection="1">
      <protection locked="0"/>
    </xf>
    <xf numFmtId="172" fontId="12" fillId="2" borderId="13" xfId="2" applyNumberFormat="1" applyFont="1" applyFill="1" applyBorder="1"/>
    <xf numFmtId="0" fontId="12" fillId="2" borderId="13" xfId="0" applyFont="1" applyFill="1" applyBorder="1"/>
    <xf numFmtId="0" fontId="12" fillId="2" borderId="18" xfId="0" applyFont="1" applyFill="1" applyBorder="1"/>
    <xf numFmtId="9" fontId="12" fillId="2" borderId="10" xfId="3" applyFont="1" applyFill="1" applyBorder="1"/>
    <xf numFmtId="9" fontId="12" fillId="2" borderId="9" xfId="3" applyFont="1" applyFill="1" applyBorder="1"/>
    <xf numFmtId="165" fontId="12" fillId="2" borderId="10" xfId="1" applyFont="1" applyFill="1" applyBorder="1"/>
    <xf numFmtId="172" fontId="12" fillId="2" borderId="19" xfId="2" applyNumberFormat="1" applyFont="1" applyFill="1" applyBorder="1"/>
    <xf numFmtId="173" fontId="12" fillId="2" borderId="9" xfId="0" applyNumberFormat="1" applyFont="1" applyFill="1" applyBorder="1"/>
    <xf numFmtId="0" fontId="12" fillId="0" borderId="20" xfId="0" applyFont="1" applyBorder="1"/>
    <xf numFmtId="175" fontId="15" fillId="4" borderId="11" xfId="2" applyNumberFormat="1" applyFont="1" applyFill="1" applyBorder="1"/>
    <xf numFmtId="175" fontId="15" fillId="7" borderId="6" xfId="2" applyNumberFormat="1" applyFont="1" applyFill="1" applyBorder="1"/>
  </cellXfs>
  <cellStyles count="4">
    <cellStyle name="Komma" xfId="1" builtinId="3"/>
    <cellStyle name="Prozent" xfId="3" builtinId="5"/>
    <cellStyle name="Standard" xfId="0" builtinId="0"/>
    <cellStyle name="Währung" xfId="2" builtinId="4"/>
  </cellStyles>
  <dxfs count="0"/>
  <tableStyles count="0" defaultTableStyle="TableStyleMedium9" defaultPivotStyle="PivotStyleLight16"/>
  <colors>
    <mruColors>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Times New Roman"/>
                <a:ea typeface="Times New Roman"/>
                <a:cs typeface="Times New Roman"/>
              </a:defRPr>
            </a:pPr>
            <a:r>
              <a:rPr lang="en-US"/>
              <a:t>Gesamtverluste pro Jahr oberhalb </a:t>
            </a:r>
          </a:p>
          <a:p>
            <a:pPr>
              <a:defRPr sz="1100" b="1" i="0" u="none" strike="noStrike" baseline="0">
                <a:solidFill>
                  <a:srgbClr val="000000"/>
                </a:solidFill>
                <a:latin typeface="Times New Roman"/>
                <a:ea typeface="Times New Roman"/>
                <a:cs typeface="Times New Roman"/>
              </a:defRPr>
            </a:pPr>
            <a:r>
              <a:rPr lang="en-US"/>
              <a:t>des gewünschten Grenzwertes</a:t>
            </a:r>
          </a:p>
        </c:rich>
      </c:tx>
      <c:layout>
        <c:manualLayout>
          <c:xMode val="edge"/>
          <c:yMode val="edge"/>
          <c:x val="0.22506658889860989"/>
          <c:y val="3.6719752136246141E-2"/>
        </c:manualLayout>
      </c:layout>
      <c:overlay val="0"/>
      <c:spPr>
        <a:noFill/>
        <a:ln w="25400">
          <a:noFill/>
        </a:ln>
      </c:spPr>
    </c:title>
    <c:autoTitleDeleted val="0"/>
    <c:plotArea>
      <c:layout>
        <c:manualLayout>
          <c:layoutTarget val="inner"/>
          <c:xMode val="edge"/>
          <c:yMode val="edge"/>
          <c:x val="0.25419284772321776"/>
          <c:y val="0.36352682989801816"/>
          <c:w val="0.2939104801799729"/>
          <c:h val="0.40759068806747395"/>
        </c:manualLayout>
      </c:layout>
      <c:pieChart>
        <c:varyColors val="1"/>
        <c:ser>
          <c:idx val="0"/>
          <c:order val="0"/>
          <c:tx>
            <c:v>Losses</c:v>
          </c:tx>
          <c:spPr>
            <a:solidFill>
              <a:srgbClr val="9999FF"/>
            </a:solidFill>
            <a:ln w="12700">
              <a:solidFill>
                <a:srgbClr val="000000"/>
              </a:solidFill>
              <a:prstDash val="solid"/>
            </a:ln>
          </c:spPr>
          <c:dPt>
            <c:idx val="0"/>
            <c:bubble3D val="0"/>
            <c:spPr>
              <a:solidFill>
                <a:srgbClr val="FFCC99"/>
              </a:solidFill>
              <a:ln w="12700">
                <a:solidFill>
                  <a:srgbClr val="000000"/>
                </a:solidFill>
                <a:prstDash val="solid"/>
              </a:ln>
            </c:spPr>
          </c:dPt>
          <c:dPt>
            <c:idx val="1"/>
            <c:bubble3D val="0"/>
            <c:spPr>
              <a:solidFill>
                <a:srgbClr val="CC99FF"/>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FF00"/>
              </a:solidFill>
              <a:ln w="12700">
                <a:solidFill>
                  <a:srgbClr val="000000"/>
                </a:solidFill>
                <a:prstDash val="solid"/>
              </a:ln>
            </c:spPr>
          </c:dPt>
          <c:dLbls>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de-DE"/>
              </a:p>
            </c:txPr>
            <c:showLegendKey val="1"/>
            <c:showVal val="1"/>
            <c:showCatName val="0"/>
            <c:showSerName val="0"/>
            <c:showPercent val="0"/>
            <c:showBubbleSize val="0"/>
            <c:showLeaderLines val="1"/>
          </c:dLbls>
          <c:cat>
            <c:strRef>
              <c:f>'totals and goals'!$B$4:$B$7</c:f>
              <c:strCache>
                <c:ptCount val="4"/>
                <c:pt idx="0">
                  <c:v>Klinik</c:v>
                </c:pt>
                <c:pt idx="1">
                  <c:v>Produktion</c:v>
                </c:pt>
                <c:pt idx="2">
                  <c:v>Prämien</c:v>
                </c:pt>
                <c:pt idx="3">
                  <c:v>Merz/Abgäng</c:v>
                </c:pt>
              </c:strCache>
            </c:strRef>
          </c:cat>
          <c:val>
            <c:numRef>
              <c:f>'totals and goals'!$A$4:$A$7</c:f>
              <c:numCache>
                <c:formatCode>_-* #,##0\ [$€-407]_-;\-* #,##0\ [$€-407]_-;_-* "-"\ [$€-407]_-;_-@_-</c:formatCode>
                <c:ptCount val="4"/>
                <c:pt idx="0">
                  <c:v>5552.335023529411</c:v>
                </c:pt>
                <c:pt idx="1">
                  <c:v>4719.6117613636361</c:v>
                </c:pt>
                <c:pt idx="2">
                  <c:v>4653.75</c:v>
                </c:pt>
                <c:pt idx="3">
                  <c:v>4091</c:v>
                </c:pt>
              </c:numCache>
            </c:numRef>
          </c:val>
        </c:ser>
        <c:dLbls>
          <c:showLegendKey val="1"/>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74933938813203849"/>
          <c:y val="0.41493458054585436"/>
          <c:w val="0.18534905359052462"/>
          <c:h val="0.2827430781678608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Times New Roman"/>
              <a:ea typeface="Times New Roman"/>
              <a:cs typeface="Times New Roman"/>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de-DE"/>
    </a:p>
  </c:txPr>
  <c:printSettings>
    <c:headerFooter alignWithMargins="0"/>
    <c:pageMargins b="1" l="0.75000000000000222" r="0.750000000000002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169597</xdr:colOff>
      <xdr:row>1</xdr:row>
      <xdr:rowOff>121443</xdr:rowOff>
    </xdr:from>
    <xdr:to>
      <xdr:col>14</xdr:col>
      <xdr:colOff>341048</xdr:colOff>
      <xdr:row>13</xdr:row>
      <xdr:rowOff>177799</xdr:rowOff>
    </xdr:to>
    <xdr:graphicFrame macro="">
      <xdr:nvGraphicFramePr>
        <xdr:cNvPr id="109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9"/>
  <sheetViews>
    <sheetView tabSelected="1" topLeftCell="A43" zoomScaleNormal="100" workbookViewId="0">
      <selection activeCell="E17" sqref="E17"/>
    </sheetView>
  </sheetViews>
  <sheetFormatPr baseColWidth="10" defaultColWidth="9" defaultRowHeight="15.75" x14ac:dyDescent="0.25"/>
  <cols>
    <col min="1" max="1" width="13.5" customWidth="1"/>
    <col min="2" max="2" width="15.875" customWidth="1"/>
    <col min="4" max="4" width="14.5" customWidth="1"/>
    <col min="5" max="5" width="9.125" bestFit="1" customWidth="1"/>
    <col min="6" max="6" width="11.25" customWidth="1"/>
    <col min="7" max="7" width="15.25" customWidth="1"/>
    <col min="8" max="8" width="14.75" customWidth="1"/>
    <col min="9" max="9" width="19.375" customWidth="1"/>
  </cols>
  <sheetData>
    <row r="1" spans="1:15" ht="22.5" x14ac:dyDescent="0.45">
      <c r="A1" s="46" t="s">
        <v>20</v>
      </c>
      <c r="B1" s="47"/>
      <c r="C1" s="47"/>
      <c r="D1" s="47"/>
      <c r="E1" s="47"/>
      <c r="F1" s="47"/>
      <c r="G1" s="47"/>
      <c r="H1" s="48">
        <f ca="1">NOW()</f>
        <v>42711.403936111114</v>
      </c>
      <c r="I1" s="47"/>
      <c r="J1" s="47"/>
      <c r="K1" s="47"/>
      <c r="L1" s="47"/>
      <c r="M1" s="49"/>
      <c r="N1" s="47"/>
      <c r="O1" s="47"/>
    </row>
    <row r="2" spans="1:15" ht="22.5" x14ac:dyDescent="0.45">
      <c r="A2" s="50" t="s">
        <v>21</v>
      </c>
      <c r="B2" s="51"/>
      <c r="C2" s="51"/>
      <c r="D2" s="47"/>
      <c r="E2" s="47"/>
      <c r="F2" s="52" t="s">
        <v>30</v>
      </c>
      <c r="G2" s="53"/>
      <c r="H2" s="53"/>
      <c r="I2" s="47"/>
      <c r="J2" s="47"/>
      <c r="K2" s="47"/>
      <c r="L2" s="47"/>
      <c r="M2" s="49"/>
      <c r="N2" s="47"/>
      <c r="O2" s="47"/>
    </row>
    <row r="3" spans="1:15" ht="20.25" thickBot="1" x14ac:dyDescent="0.45">
      <c r="A3" s="47"/>
      <c r="B3" s="47"/>
      <c r="C3" s="47"/>
      <c r="E3" s="47"/>
      <c r="G3" s="47"/>
      <c r="I3" s="47"/>
      <c r="J3" s="47"/>
      <c r="K3" s="47"/>
      <c r="L3" s="47"/>
      <c r="M3" s="47"/>
      <c r="N3" s="47"/>
      <c r="O3" s="47"/>
    </row>
    <row r="4" spans="1:15" ht="19.5" x14ac:dyDescent="0.4">
      <c r="A4" s="129">
        <f>A26*A52</f>
        <v>5552.335023529411</v>
      </c>
      <c r="B4" s="54" t="s">
        <v>22</v>
      </c>
      <c r="C4" s="55" t="s">
        <v>23</v>
      </c>
      <c r="D4" s="56"/>
      <c r="E4" s="56"/>
      <c r="F4" s="56"/>
      <c r="G4" s="56"/>
      <c r="H4" s="56"/>
      <c r="I4" s="57"/>
      <c r="J4" s="47"/>
      <c r="K4" s="47"/>
      <c r="L4" s="47"/>
      <c r="M4" s="47"/>
      <c r="N4" s="47"/>
      <c r="O4" s="47"/>
    </row>
    <row r="5" spans="1:15" ht="19.5" x14ac:dyDescent="0.4">
      <c r="A5" s="130">
        <f>A57*365*A19*H17/100</f>
        <v>4719.6117613636361</v>
      </c>
      <c r="B5" s="58" t="s">
        <v>24</v>
      </c>
      <c r="C5" s="59" t="s">
        <v>25</v>
      </c>
      <c r="D5" s="60"/>
      <c r="E5" s="60"/>
      <c r="F5" s="60"/>
      <c r="G5" s="60"/>
      <c r="H5" s="60"/>
      <c r="I5" s="61"/>
      <c r="J5" s="47"/>
      <c r="K5" s="47"/>
      <c r="L5" s="47"/>
      <c r="M5" s="47"/>
      <c r="N5" s="47"/>
      <c r="O5" s="47"/>
    </row>
    <row r="6" spans="1:15" ht="19.5" x14ac:dyDescent="0.4">
      <c r="A6" s="131">
        <f>A22*A19*365/100*H18</f>
        <v>4653.75</v>
      </c>
      <c r="B6" s="62" t="s">
        <v>26</v>
      </c>
      <c r="C6" s="59" t="s">
        <v>27</v>
      </c>
      <c r="D6" s="60"/>
      <c r="E6" s="60"/>
      <c r="F6" s="60"/>
      <c r="G6" s="60"/>
      <c r="H6" s="60"/>
      <c r="I6" s="61"/>
      <c r="J6" s="47"/>
      <c r="K6" s="47"/>
      <c r="L6" s="47"/>
      <c r="M6" s="47"/>
      <c r="N6" s="47"/>
      <c r="O6" s="47"/>
    </row>
    <row r="7" spans="1:15" ht="20.25" thickBot="1" x14ac:dyDescent="0.45">
      <c r="A7" s="132">
        <f>A63+A60</f>
        <v>4091</v>
      </c>
      <c r="B7" s="63" t="s">
        <v>28</v>
      </c>
      <c r="C7" s="64" t="s">
        <v>29</v>
      </c>
      <c r="D7" s="65"/>
      <c r="E7" s="65"/>
      <c r="F7" s="65"/>
      <c r="G7" s="65"/>
      <c r="H7" s="65"/>
      <c r="I7" s="66"/>
      <c r="J7" s="47"/>
      <c r="K7" s="47"/>
      <c r="L7" s="47"/>
      <c r="M7" s="47"/>
      <c r="N7" s="47"/>
      <c r="O7" s="47"/>
    </row>
    <row r="8" spans="1:15" ht="19.5" x14ac:dyDescent="0.4">
      <c r="A8" s="133">
        <f>SUM(A4:A7)</f>
        <v>19016.696784893047</v>
      </c>
      <c r="B8" s="67" t="s">
        <v>108</v>
      </c>
      <c r="C8" s="68"/>
      <c r="D8" s="68"/>
      <c r="E8" s="68"/>
      <c r="F8" s="69"/>
      <c r="G8" s="70"/>
      <c r="H8" s="70"/>
      <c r="I8" s="47"/>
      <c r="J8" s="47"/>
      <c r="K8" s="47"/>
      <c r="L8" s="47"/>
      <c r="M8" s="47"/>
      <c r="N8" s="47"/>
      <c r="O8" s="47"/>
    </row>
    <row r="9" spans="1:15" ht="20.25" thickBot="1" x14ac:dyDescent="0.45">
      <c r="A9" s="134">
        <f>A8/A21</f>
        <v>190.16696784893048</v>
      </c>
      <c r="B9" s="71" t="s">
        <v>109</v>
      </c>
      <c r="C9" s="72"/>
      <c r="D9" s="72"/>
      <c r="E9" s="72"/>
      <c r="F9" s="73"/>
      <c r="G9" s="70"/>
      <c r="H9" s="70"/>
      <c r="I9" s="47"/>
      <c r="J9" s="47"/>
      <c r="K9" s="47"/>
      <c r="L9" s="47"/>
      <c r="M9" s="47"/>
      <c r="N9" s="47"/>
      <c r="O9" s="47"/>
    </row>
    <row r="10" spans="1:15" ht="20.25" thickBot="1" x14ac:dyDescent="0.45">
      <c r="A10" s="74"/>
      <c r="B10" s="47"/>
      <c r="C10" s="47"/>
      <c r="D10" s="47"/>
      <c r="E10" s="47"/>
      <c r="F10" s="47"/>
      <c r="G10" s="47"/>
      <c r="H10" s="47"/>
      <c r="I10" s="47"/>
      <c r="J10" s="47"/>
      <c r="K10" s="47"/>
      <c r="L10" s="47"/>
      <c r="M10" s="47"/>
      <c r="N10" s="47"/>
      <c r="O10" s="47"/>
    </row>
    <row r="11" spans="1:15" ht="19.5" x14ac:dyDescent="0.4">
      <c r="A11" s="75" t="s">
        <v>89</v>
      </c>
      <c r="B11" s="76"/>
      <c r="C11" s="76"/>
      <c r="D11" s="76"/>
      <c r="E11" s="76"/>
      <c r="F11" s="76"/>
      <c r="G11" s="76"/>
      <c r="H11" s="76"/>
      <c r="I11" s="77"/>
      <c r="J11" s="47"/>
      <c r="K11" s="47"/>
      <c r="L11" s="47"/>
      <c r="M11" s="47"/>
      <c r="N11" s="47"/>
      <c r="O11" s="47"/>
    </row>
    <row r="12" spans="1:15" ht="19.5" x14ac:dyDescent="0.4">
      <c r="A12" s="78">
        <v>150</v>
      </c>
      <c r="B12" s="79" t="s">
        <v>31</v>
      </c>
      <c r="C12" s="79"/>
      <c r="D12" s="79"/>
      <c r="E12" s="79"/>
      <c r="F12" s="80">
        <v>3</v>
      </c>
      <c r="G12" s="79" t="s">
        <v>33</v>
      </c>
      <c r="H12" s="79"/>
      <c r="I12" s="81"/>
      <c r="J12" s="47"/>
      <c r="K12" s="47"/>
      <c r="L12" s="47"/>
      <c r="M12" s="47"/>
      <c r="N12" s="47"/>
      <c r="O12" s="47"/>
    </row>
    <row r="13" spans="1:15" ht="19.5" x14ac:dyDescent="0.4">
      <c r="A13" s="78">
        <v>100</v>
      </c>
      <c r="B13" s="79" t="s">
        <v>90</v>
      </c>
      <c r="C13" s="79"/>
      <c r="D13" s="79"/>
      <c r="E13" s="79"/>
      <c r="F13" s="83">
        <f>F12/$A$21</f>
        <v>0.03</v>
      </c>
      <c r="G13" s="60" t="s">
        <v>34</v>
      </c>
      <c r="H13" s="60"/>
      <c r="I13" s="61"/>
      <c r="J13" s="47"/>
      <c r="K13" s="47"/>
      <c r="L13" s="47"/>
      <c r="M13" s="47"/>
      <c r="N13" s="47"/>
      <c r="O13" s="47"/>
    </row>
    <row r="14" spans="1:15" ht="19.5" x14ac:dyDescent="0.4">
      <c r="A14" s="78">
        <v>200</v>
      </c>
      <c r="B14" s="79" t="s">
        <v>91</v>
      </c>
      <c r="C14" s="79"/>
      <c r="D14" s="79"/>
      <c r="E14" s="79"/>
      <c r="F14" s="80">
        <v>6</v>
      </c>
      <c r="G14" s="79" t="s">
        <v>35</v>
      </c>
      <c r="H14" s="79"/>
      <c r="I14" s="81"/>
      <c r="J14" s="47"/>
      <c r="K14" s="47"/>
      <c r="L14" s="47"/>
      <c r="M14" s="47"/>
      <c r="N14" s="47"/>
      <c r="O14" s="47"/>
    </row>
    <row r="15" spans="1:15" ht="20.25" thickBot="1" x14ac:dyDescent="0.45">
      <c r="A15" s="84">
        <v>0.02</v>
      </c>
      <c r="B15" s="85" t="s">
        <v>32</v>
      </c>
      <c r="C15" s="85"/>
      <c r="D15" s="85"/>
      <c r="E15" s="85"/>
      <c r="F15" s="86">
        <f>F14/$A$21</f>
        <v>0.06</v>
      </c>
      <c r="G15" s="65" t="s">
        <v>92</v>
      </c>
      <c r="H15" s="65"/>
      <c r="I15" s="66"/>
      <c r="J15" s="47"/>
      <c r="K15" s="47"/>
      <c r="L15" s="47"/>
      <c r="M15" s="47"/>
      <c r="N15" s="47"/>
      <c r="O15" s="47"/>
    </row>
    <row r="16" spans="1:15" ht="19.5" x14ac:dyDescent="0.4">
      <c r="A16" s="74" t="s">
        <v>110</v>
      </c>
      <c r="B16" s="47"/>
      <c r="C16" s="47"/>
      <c r="D16" s="47"/>
      <c r="E16" s="47"/>
      <c r="F16" s="47"/>
      <c r="G16" s="47"/>
      <c r="H16" s="47"/>
      <c r="I16" s="74"/>
      <c r="J16" s="47"/>
      <c r="K16" s="47"/>
      <c r="L16" s="47"/>
      <c r="M16" s="47"/>
      <c r="N16" s="47"/>
      <c r="O16" s="47"/>
    </row>
    <row r="17" spans="1:16" ht="19.5" x14ac:dyDescent="0.4">
      <c r="A17" s="51">
        <v>35</v>
      </c>
      <c r="B17" s="87" t="s">
        <v>36</v>
      </c>
      <c r="C17" s="47"/>
      <c r="D17" s="47"/>
      <c r="E17" s="47"/>
      <c r="F17" s="47"/>
      <c r="G17" s="47"/>
      <c r="H17" s="124">
        <v>30</v>
      </c>
      <c r="I17" s="47" t="s">
        <v>87</v>
      </c>
      <c r="J17" s="47"/>
      <c r="K17" s="47"/>
      <c r="L17" s="47"/>
      <c r="M17" s="47"/>
      <c r="N17" s="47"/>
      <c r="O17" s="47"/>
    </row>
    <row r="18" spans="1:16" ht="19.5" x14ac:dyDescent="0.4">
      <c r="A18" s="88">
        <f>A19-A17</f>
        <v>50</v>
      </c>
      <c r="B18" s="88" t="s">
        <v>37</v>
      </c>
      <c r="C18" s="88"/>
      <c r="D18" s="47"/>
      <c r="E18" s="47"/>
      <c r="F18" s="47"/>
      <c r="G18" s="47"/>
      <c r="H18" s="124">
        <v>0.5</v>
      </c>
      <c r="I18" s="89" t="s">
        <v>49</v>
      </c>
      <c r="J18" s="47"/>
      <c r="K18" s="47"/>
      <c r="L18" s="47"/>
      <c r="M18" s="47"/>
      <c r="N18" s="47"/>
      <c r="O18" s="47"/>
    </row>
    <row r="19" spans="1:16" ht="19.5" x14ac:dyDescent="0.4">
      <c r="A19" s="90">
        <v>85</v>
      </c>
      <c r="B19" s="91" t="s">
        <v>38</v>
      </c>
      <c r="C19" s="91"/>
      <c r="D19" s="91"/>
      <c r="E19" s="91"/>
      <c r="F19" s="47"/>
      <c r="G19" s="47"/>
      <c r="H19" s="124">
        <v>11</v>
      </c>
      <c r="I19" s="89" t="s">
        <v>88</v>
      </c>
      <c r="J19" s="47"/>
      <c r="K19" s="47"/>
      <c r="L19" s="47"/>
      <c r="M19" s="47"/>
      <c r="N19" s="47"/>
      <c r="O19" s="47"/>
    </row>
    <row r="20" spans="1:16" ht="19.5" x14ac:dyDescent="0.4">
      <c r="A20" s="51">
        <v>15</v>
      </c>
      <c r="B20" s="47" t="s">
        <v>39</v>
      </c>
      <c r="C20" s="47"/>
      <c r="D20" s="47"/>
      <c r="E20" s="92">
        <f>A20/A21</f>
        <v>0.15</v>
      </c>
      <c r="F20" s="47" t="s">
        <v>44</v>
      </c>
      <c r="G20" s="47"/>
      <c r="H20" s="125">
        <v>15</v>
      </c>
      <c r="I20" s="93" t="s">
        <v>50</v>
      </c>
      <c r="J20" s="91"/>
      <c r="K20" s="91"/>
      <c r="L20" s="91"/>
      <c r="M20" s="91"/>
      <c r="N20" s="47"/>
      <c r="O20" s="47"/>
    </row>
    <row r="21" spans="1:16" ht="19.5" x14ac:dyDescent="0.4">
      <c r="A21" s="94">
        <f>A19+A20</f>
        <v>100</v>
      </c>
      <c r="B21" s="94" t="s">
        <v>40</v>
      </c>
      <c r="C21" s="94"/>
      <c r="D21" s="94"/>
      <c r="E21" s="94"/>
      <c r="F21" s="94"/>
      <c r="G21" s="47"/>
      <c r="H21" s="95">
        <v>40</v>
      </c>
      <c r="I21" s="47" t="s">
        <v>94</v>
      </c>
      <c r="J21" s="47"/>
      <c r="K21" s="47"/>
      <c r="L21" s="47"/>
      <c r="M21" s="47"/>
      <c r="N21" s="47"/>
      <c r="O21" s="47"/>
      <c r="P21" s="37"/>
    </row>
    <row r="22" spans="1:16" ht="19.5" x14ac:dyDescent="0.4">
      <c r="A22" s="95">
        <v>30</v>
      </c>
      <c r="B22" s="47" t="s">
        <v>41</v>
      </c>
      <c r="C22" s="47"/>
      <c r="D22" s="47"/>
      <c r="E22" s="47"/>
      <c r="F22" s="47"/>
      <c r="G22" s="47"/>
      <c r="H22" s="124">
        <v>5</v>
      </c>
      <c r="I22" s="47" t="s">
        <v>95</v>
      </c>
      <c r="J22" s="47"/>
      <c r="K22" s="47"/>
      <c r="L22" s="47"/>
      <c r="M22" s="47"/>
      <c r="N22" s="47"/>
      <c r="O22" s="47"/>
      <c r="P22" s="38"/>
    </row>
    <row r="23" spans="1:16" ht="19.5" x14ac:dyDescent="0.4">
      <c r="A23" s="96">
        <v>250</v>
      </c>
      <c r="B23" s="97" t="s">
        <v>82</v>
      </c>
      <c r="C23" s="47"/>
      <c r="D23" s="96">
        <v>350</v>
      </c>
      <c r="E23" s="97" t="s">
        <v>81</v>
      </c>
      <c r="F23" s="47"/>
      <c r="G23" s="47"/>
      <c r="H23" s="98">
        <v>0.4</v>
      </c>
      <c r="I23" s="91" t="s">
        <v>96</v>
      </c>
      <c r="J23" s="91"/>
      <c r="K23" s="91"/>
      <c r="L23" s="91"/>
      <c r="M23" s="91"/>
      <c r="N23" s="47"/>
      <c r="O23" s="47"/>
    </row>
    <row r="24" spans="1:16" ht="19.5" x14ac:dyDescent="0.4">
      <c r="A24" s="99">
        <f>A25/A19</f>
        <v>4.7058823529411764E-2</v>
      </c>
      <c r="B24" s="88" t="s">
        <v>42</v>
      </c>
      <c r="C24" s="88"/>
      <c r="D24" s="88"/>
      <c r="E24" s="88"/>
      <c r="F24" s="88"/>
      <c r="G24" s="47"/>
      <c r="H24" s="126">
        <v>1900</v>
      </c>
      <c r="I24" s="47" t="s">
        <v>51</v>
      </c>
      <c r="J24" s="47"/>
      <c r="K24" s="47"/>
      <c r="L24" s="47"/>
      <c r="M24" s="47"/>
      <c r="N24" s="47"/>
      <c r="O24" s="47"/>
    </row>
    <row r="25" spans="1:16" ht="19.5" x14ac:dyDescent="0.4">
      <c r="A25" s="51">
        <v>4</v>
      </c>
      <c r="B25" s="47" t="s">
        <v>43</v>
      </c>
      <c r="C25" s="47"/>
      <c r="D25" s="47"/>
      <c r="E25" s="47"/>
      <c r="F25" s="47"/>
      <c r="G25" s="47"/>
      <c r="H25" s="126">
        <v>600</v>
      </c>
      <c r="I25" s="47" t="s">
        <v>52</v>
      </c>
      <c r="J25" s="47"/>
      <c r="K25" s="47"/>
      <c r="L25" s="47"/>
      <c r="M25" s="47"/>
      <c r="N25" s="47"/>
      <c r="O25" s="47"/>
    </row>
    <row r="26" spans="1:16" ht="19.5" x14ac:dyDescent="0.4">
      <c r="A26" s="100">
        <f>(A24-A15)*A19*12</f>
        <v>27.599999999999998</v>
      </c>
      <c r="B26" s="101" t="s">
        <v>48</v>
      </c>
      <c r="C26" s="101"/>
      <c r="D26" s="101"/>
      <c r="E26" s="101"/>
      <c r="F26" s="47"/>
      <c r="G26" s="47"/>
      <c r="H26" s="135">
        <v>50</v>
      </c>
      <c r="I26" s="91" t="s">
        <v>54</v>
      </c>
      <c r="J26" s="91"/>
      <c r="K26" s="91"/>
      <c r="L26" s="91"/>
      <c r="M26" s="91"/>
      <c r="N26" s="47"/>
      <c r="O26" s="47"/>
    </row>
    <row r="27" spans="1:16" ht="19.5" x14ac:dyDescent="0.4">
      <c r="A27" s="51">
        <v>5</v>
      </c>
      <c r="B27" s="47" t="s">
        <v>45</v>
      </c>
      <c r="C27" s="47"/>
      <c r="D27" s="47"/>
      <c r="E27" s="47"/>
      <c r="F27" s="47"/>
      <c r="G27" s="47"/>
      <c r="H27" s="95">
        <v>15</v>
      </c>
      <c r="I27" s="47" t="s">
        <v>56</v>
      </c>
      <c r="J27" s="47"/>
      <c r="K27" s="47"/>
      <c r="L27" s="47"/>
      <c r="M27" s="47"/>
      <c r="N27" s="47"/>
      <c r="O27" s="47"/>
    </row>
    <row r="28" spans="1:16" ht="20.25" thickBot="1" x14ac:dyDescent="0.45">
      <c r="A28" s="99">
        <f>A27/$A$21</f>
        <v>0.05</v>
      </c>
      <c r="B28" s="88" t="s">
        <v>46</v>
      </c>
      <c r="C28" s="88"/>
      <c r="D28" s="88"/>
      <c r="E28" s="88"/>
      <c r="F28" s="47"/>
      <c r="G28" s="47"/>
      <c r="H28" s="127">
        <f>(A22*(H17-H19)/100)*H27</f>
        <v>85.5</v>
      </c>
      <c r="I28" s="102" t="s">
        <v>55</v>
      </c>
      <c r="J28" s="102"/>
      <c r="K28" s="102"/>
      <c r="L28" s="102"/>
      <c r="M28" s="85"/>
      <c r="N28" s="47"/>
      <c r="O28" s="47"/>
    </row>
    <row r="29" spans="1:16" ht="19.5" x14ac:dyDescent="0.4">
      <c r="A29" s="51">
        <v>8</v>
      </c>
      <c r="B29" s="47" t="s">
        <v>47</v>
      </c>
      <c r="C29" s="47"/>
      <c r="D29" s="47"/>
      <c r="E29" s="47"/>
      <c r="F29" s="47"/>
      <c r="G29" s="47"/>
      <c r="H29" s="128">
        <f>H24+H26+H28-H25</f>
        <v>1435.5</v>
      </c>
      <c r="I29" s="47" t="s">
        <v>57</v>
      </c>
      <c r="J29" s="47"/>
      <c r="K29" s="47"/>
      <c r="L29" s="47"/>
      <c r="M29" s="47"/>
      <c r="N29" s="47"/>
      <c r="O29" s="47"/>
    </row>
    <row r="30" spans="1:16" ht="19.5" x14ac:dyDescent="0.4">
      <c r="A30" s="99">
        <f>A29/$A$21</f>
        <v>0.08</v>
      </c>
      <c r="B30" s="88" t="s">
        <v>93</v>
      </c>
      <c r="C30" s="88"/>
      <c r="D30" s="88"/>
      <c r="E30" s="88"/>
      <c r="F30" s="47"/>
      <c r="G30" s="47"/>
      <c r="H30" s="47"/>
      <c r="I30" s="126">
        <v>10</v>
      </c>
      <c r="J30" s="47" t="s">
        <v>53</v>
      </c>
      <c r="K30" s="47"/>
      <c r="L30" s="47"/>
      <c r="M30" s="47"/>
      <c r="N30" s="47"/>
      <c r="O30" s="47"/>
    </row>
    <row r="31" spans="1:16" ht="20.25" thickBot="1" x14ac:dyDescent="0.45">
      <c r="A31" s="47"/>
      <c r="B31" s="47"/>
      <c r="C31" s="47"/>
      <c r="D31" s="47"/>
      <c r="E31" s="47"/>
      <c r="F31" s="47"/>
      <c r="G31" s="47"/>
      <c r="H31" s="136">
        <f>(H24+H26+H28)-(H24+H26+H28-H25)/2</f>
        <v>1317.75</v>
      </c>
      <c r="I31" s="88" t="s">
        <v>84</v>
      </c>
      <c r="J31" s="88"/>
      <c r="K31" s="88"/>
      <c r="L31" s="88"/>
      <c r="M31" s="47"/>
      <c r="N31" s="47"/>
      <c r="O31" s="47"/>
    </row>
    <row r="32" spans="1:16" ht="19.5" x14ac:dyDescent="0.4">
      <c r="A32" s="75" t="s">
        <v>58</v>
      </c>
      <c r="B32" s="76"/>
      <c r="C32" s="76"/>
      <c r="D32" s="76"/>
      <c r="E32" s="76"/>
      <c r="F32" s="76"/>
      <c r="G32" s="77"/>
      <c r="H32" s="47"/>
      <c r="I32" s="47"/>
      <c r="J32" s="47"/>
      <c r="K32" s="47"/>
      <c r="L32" s="47"/>
      <c r="M32" s="47"/>
      <c r="N32" s="47"/>
      <c r="O32" s="47"/>
    </row>
    <row r="33" spans="1:15" ht="19.5" x14ac:dyDescent="0.4">
      <c r="A33" s="103" t="s">
        <v>59</v>
      </c>
      <c r="B33" s="104" t="s">
        <v>60</v>
      </c>
      <c r="C33" s="79"/>
      <c r="D33" s="79"/>
      <c r="E33" s="79"/>
      <c r="F33" s="79"/>
      <c r="G33" s="81"/>
      <c r="H33" s="47"/>
      <c r="I33" s="47" t="s">
        <v>106</v>
      </c>
      <c r="J33" s="47"/>
      <c r="K33" s="47"/>
      <c r="L33" s="47"/>
      <c r="M33" s="47"/>
      <c r="N33" s="47"/>
      <c r="O33" s="47"/>
    </row>
    <row r="34" spans="1:15" ht="19.5" x14ac:dyDescent="0.4">
      <c r="A34" s="105">
        <v>0.9</v>
      </c>
      <c r="B34" s="106">
        <f>1-A34</f>
        <v>9.9999999999999978E-2</v>
      </c>
      <c r="C34" s="60" t="s">
        <v>61</v>
      </c>
      <c r="D34" s="60"/>
      <c r="E34" s="60"/>
      <c r="F34" s="60"/>
      <c r="G34" s="61"/>
      <c r="H34" s="47"/>
      <c r="I34" s="47" t="s">
        <v>107</v>
      </c>
      <c r="J34" s="47"/>
      <c r="K34" s="47"/>
      <c r="L34" s="47"/>
      <c r="M34" s="47"/>
      <c r="N34" s="47"/>
      <c r="O34" s="47"/>
    </row>
    <row r="35" spans="1:15" ht="19.5" x14ac:dyDescent="0.4">
      <c r="A35" s="124">
        <v>10</v>
      </c>
      <c r="B35" s="124">
        <v>30</v>
      </c>
      <c r="C35" s="60" t="s">
        <v>97</v>
      </c>
      <c r="D35" s="60"/>
      <c r="E35" s="60"/>
      <c r="F35" s="60"/>
      <c r="G35" s="61"/>
      <c r="H35" s="47"/>
      <c r="I35" s="47"/>
      <c r="J35" s="47"/>
      <c r="K35" s="47"/>
      <c r="L35" s="47"/>
      <c r="M35" s="47"/>
      <c r="N35" s="47"/>
      <c r="O35" s="47"/>
    </row>
    <row r="36" spans="1:15" ht="19.5" x14ac:dyDescent="0.4">
      <c r="A36" s="107">
        <v>3</v>
      </c>
      <c r="B36" s="108">
        <v>5</v>
      </c>
      <c r="C36" s="60" t="s">
        <v>62</v>
      </c>
      <c r="D36" s="60"/>
      <c r="E36" s="60"/>
      <c r="F36" s="60"/>
      <c r="G36" s="61"/>
      <c r="H36" s="47"/>
      <c r="I36" s="35" t="s">
        <v>85</v>
      </c>
      <c r="J36" s="47"/>
      <c r="K36" s="47"/>
      <c r="L36" s="47"/>
      <c r="M36" s="47"/>
      <c r="N36" s="47"/>
      <c r="O36" s="47"/>
    </row>
    <row r="37" spans="1:15" ht="19.5" x14ac:dyDescent="0.4">
      <c r="A37" s="143">
        <v>4</v>
      </c>
      <c r="B37" s="90">
        <v>4</v>
      </c>
      <c r="C37" s="101" t="s">
        <v>63</v>
      </c>
      <c r="D37" s="101"/>
      <c r="E37" s="101"/>
      <c r="F37" s="101"/>
      <c r="G37" s="137"/>
      <c r="H37" s="47"/>
      <c r="I37" s="35" t="s">
        <v>0</v>
      </c>
      <c r="J37" s="47"/>
      <c r="K37" s="47"/>
      <c r="L37" s="47"/>
      <c r="M37" s="47"/>
      <c r="N37" s="47"/>
      <c r="O37" s="47"/>
    </row>
    <row r="38" spans="1:15" ht="19.5" x14ac:dyDescent="0.4">
      <c r="A38" s="109">
        <f>$A$22*(A36+A37)</f>
        <v>210</v>
      </c>
      <c r="B38" s="110">
        <f>$A$22*(B36+B37)</f>
        <v>270</v>
      </c>
      <c r="C38" s="60" t="s">
        <v>64</v>
      </c>
      <c r="D38" s="60"/>
      <c r="E38" s="60"/>
      <c r="F38" s="60"/>
      <c r="G38" s="61"/>
      <c r="H38" s="47"/>
      <c r="I38" s="36" t="s">
        <v>86</v>
      </c>
      <c r="J38" s="47"/>
      <c r="K38" s="47"/>
      <c r="L38" s="47"/>
      <c r="M38" s="47"/>
      <c r="N38" s="47"/>
      <c r="O38" s="47"/>
    </row>
    <row r="39" spans="1:15" ht="19.5" x14ac:dyDescent="0.4">
      <c r="A39" s="138">
        <f>B39</f>
        <v>0</v>
      </c>
      <c r="B39" s="139">
        <v>0</v>
      </c>
      <c r="C39" s="60" t="s">
        <v>98</v>
      </c>
      <c r="D39" s="60"/>
      <c r="E39" s="60"/>
      <c r="F39" s="60"/>
      <c r="G39" s="61"/>
      <c r="H39" s="47"/>
      <c r="I39" s="47"/>
      <c r="J39" s="47"/>
      <c r="K39" s="47"/>
      <c r="L39" s="47"/>
      <c r="M39" s="47"/>
      <c r="N39" s="47"/>
      <c r="O39" s="47"/>
    </row>
    <row r="40" spans="1:15" ht="19.5" x14ac:dyDescent="0.4">
      <c r="A40" s="141">
        <f>A38/100*(H17-A39)</f>
        <v>63</v>
      </c>
      <c r="B40" s="142">
        <f>B38/100*(H17-B39)</f>
        <v>81</v>
      </c>
      <c r="C40" s="101" t="s">
        <v>67</v>
      </c>
      <c r="D40" s="101"/>
      <c r="E40" s="101"/>
      <c r="F40" s="101"/>
      <c r="G40" s="137"/>
      <c r="H40" s="47"/>
      <c r="I40" s="47"/>
      <c r="J40" s="47"/>
      <c r="K40" s="47"/>
      <c r="L40" s="47"/>
      <c r="M40" s="47"/>
      <c r="N40" s="47"/>
      <c r="O40" s="47"/>
    </row>
    <row r="41" spans="1:15" ht="19.5" x14ac:dyDescent="0.4">
      <c r="A41" s="111">
        <f>(133+112)/2</f>
        <v>122.5</v>
      </c>
      <c r="B41" s="112">
        <f>228</f>
        <v>228</v>
      </c>
      <c r="C41" s="60" t="s">
        <v>66</v>
      </c>
      <c r="D41" s="60"/>
      <c r="E41" s="60"/>
      <c r="F41" s="60"/>
      <c r="G41" s="61"/>
      <c r="H41" s="47"/>
      <c r="I41" s="47"/>
      <c r="J41" s="47"/>
      <c r="K41" s="47"/>
      <c r="L41" s="47"/>
      <c r="M41" s="47"/>
      <c r="N41" s="47"/>
      <c r="O41" s="47"/>
    </row>
    <row r="42" spans="1:15" ht="19.5" x14ac:dyDescent="0.4">
      <c r="A42" s="111">
        <f>(128+92)/2</f>
        <v>110</v>
      </c>
      <c r="B42" s="112">
        <f>304</f>
        <v>304</v>
      </c>
      <c r="C42" s="60" t="s">
        <v>99</v>
      </c>
      <c r="D42" s="60"/>
      <c r="E42" s="60"/>
      <c r="F42" s="60"/>
      <c r="G42" s="61"/>
      <c r="H42" s="47"/>
      <c r="I42" s="47"/>
      <c r="J42" s="47"/>
      <c r="K42" s="47"/>
      <c r="L42" s="47"/>
      <c r="M42" s="47"/>
      <c r="N42" s="47"/>
      <c r="O42" s="47"/>
    </row>
    <row r="43" spans="1:15" ht="19.5" x14ac:dyDescent="0.4">
      <c r="A43" s="142">
        <f>A41/100*($H$17-$H$19)*$A$17/$A$19+A42/100*($H$17-$H$19)*$A$18/$A$19</f>
        <v>21.877941176470593</v>
      </c>
      <c r="B43" s="142">
        <f>B41/100*($H$17-$H$19)*$A$17/$A$19+B42/100*($H$17-$H$19)*$A$18/$A$19</f>
        <v>51.814117647058822</v>
      </c>
      <c r="C43" s="101" t="s">
        <v>100</v>
      </c>
      <c r="D43" s="101"/>
      <c r="E43" s="101"/>
      <c r="F43" s="101"/>
      <c r="G43" s="137"/>
      <c r="H43" s="47"/>
      <c r="I43" s="47"/>
      <c r="J43" s="47"/>
      <c r="K43" s="47"/>
      <c r="L43" s="47"/>
      <c r="M43" s="47"/>
      <c r="N43" s="47"/>
      <c r="O43" s="47"/>
    </row>
    <row r="44" spans="1:15" ht="19.5" x14ac:dyDescent="0.4">
      <c r="A44" s="144">
        <f>A40+A43</f>
        <v>84.877941176470586</v>
      </c>
      <c r="B44" s="144">
        <f>B40+B43</f>
        <v>132.81411764705882</v>
      </c>
      <c r="C44" s="145" t="s">
        <v>68</v>
      </c>
      <c r="D44" s="145"/>
      <c r="E44" s="145"/>
      <c r="F44" s="145"/>
      <c r="G44" s="146"/>
      <c r="H44" s="47"/>
      <c r="I44" s="47"/>
      <c r="J44" s="47"/>
      <c r="K44" s="47"/>
      <c r="L44" s="47"/>
      <c r="M44" s="47"/>
      <c r="N44" s="47"/>
      <c r="O44" s="47"/>
    </row>
    <row r="45" spans="1:15" ht="19.5" x14ac:dyDescent="0.4">
      <c r="A45" s="109">
        <f>A38+A41*$A$17/$A$19+A42*$A$18/$A$19</f>
        <v>325.14705882352939</v>
      </c>
      <c r="B45" s="110">
        <f>B38+B41*$A$17/$A$19+B42*$A$18/$A$19</f>
        <v>542.70588235294122</v>
      </c>
      <c r="C45" s="60" t="s">
        <v>69</v>
      </c>
      <c r="D45" s="60"/>
      <c r="E45" s="60"/>
      <c r="F45" s="60"/>
      <c r="G45" s="61"/>
      <c r="H45" s="47"/>
      <c r="I45" s="47"/>
      <c r="J45" s="47"/>
      <c r="K45" s="47"/>
      <c r="L45" s="47"/>
      <c r="M45" s="47"/>
      <c r="N45" s="47"/>
      <c r="O45" s="47"/>
    </row>
    <row r="46" spans="1:15" ht="19.5" x14ac:dyDescent="0.4">
      <c r="A46" s="147">
        <f>A45/(305*$A$22)</f>
        <v>3.5535197685631625E-2</v>
      </c>
      <c r="B46" s="148">
        <f>B45/(305*$A$22)</f>
        <v>5.9312118289938931E-2</v>
      </c>
      <c r="C46" s="101" t="s">
        <v>101</v>
      </c>
      <c r="D46" s="101"/>
      <c r="E46" s="101"/>
      <c r="F46" s="101"/>
      <c r="G46" s="137"/>
      <c r="H46" s="47"/>
      <c r="I46" s="47"/>
      <c r="J46" s="47"/>
      <c r="K46" s="47"/>
      <c r="L46" s="47"/>
      <c r="M46" s="47"/>
      <c r="N46" s="47"/>
      <c r="O46" s="47"/>
    </row>
    <row r="47" spans="1:15" ht="19.5" x14ac:dyDescent="0.4">
      <c r="A47" s="113">
        <v>1</v>
      </c>
      <c r="B47" s="114">
        <v>3</v>
      </c>
      <c r="C47" s="60" t="s">
        <v>83</v>
      </c>
      <c r="D47" s="60"/>
      <c r="E47" s="60"/>
      <c r="F47" s="60"/>
      <c r="G47" s="61"/>
      <c r="H47" s="47"/>
      <c r="I47" s="47"/>
      <c r="J47" s="47"/>
      <c r="K47" s="47"/>
      <c r="L47" s="47"/>
      <c r="M47" s="47"/>
      <c r="N47" s="47"/>
      <c r="O47" s="47"/>
    </row>
    <row r="48" spans="1:15" ht="19.5" x14ac:dyDescent="0.4">
      <c r="A48" s="144">
        <f>A47*$H$20</f>
        <v>15</v>
      </c>
      <c r="B48" s="144">
        <f>B47*$H$20</f>
        <v>45</v>
      </c>
      <c r="C48" s="101" t="s">
        <v>70</v>
      </c>
      <c r="D48" s="101"/>
      <c r="E48" s="101"/>
      <c r="F48" s="101"/>
      <c r="G48" s="137"/>
      <c r="H48" s="47"/>
      <c r="I48" s="47"/>
      <c r="J48" s="47"/>
      <c r="K48" s="47"/>
      <c r="L48" s="47"/>
      <c r="M48" s="47"/>
      <c r="N48" s="47"/>
      <c r="O48" s="47"/>
    </row>
    <row r="49" spans="1:15" ht="19.5" x14ac:dyDescent="0.4">
      <c r="A49" s="144">
        <f>H21*H22*H23</f>
        <v>80</v>
      </c>
      <c r="B49" s="144">
        <f>H21*H22*H23</f>
        <v>80</v>
      </c>
      <c r="C49" s="60" t="s">
        <v>102</v>
      </c>
      <c r="D49" s="60"/>
      <c r="E49" s="60"/>
      <c r="F49" s="60"/>
      <c r="G49" s="61"/>
      <c r="H49" s="47"/>
      <c r="I49" s="47"/>
      <c r="J49" s="47"/>
      <c r="K49" s="47"/>
      <c r="L49" s="47"/>
      <c r="M49" s="47"/>
      <c r="N49" s="47"/>
      <c r="O49" s="47"/>
    </row>
    <row r="50" spans="1:15" ht="19.5" x14ac:dyDescent="0.4">
      <c r="A50" s="124">
        <v>0</v>
      </c>
      <c r="B50" s="124">
        <v>15</v>
      </c>
      <c r="C50" s="60" t="s">
        <v>72</v>
      </c>
      <c r="D50" s="60"/>
      <c r="E50" s="60"/>
      <c r="F50" s="60"/>
      <c r="G50" s="61"/>
      <c r="H50" s="47"/>
      <c r="I50" s="47"/>
      <c r="J50" s="47"/>
      <c r="K50" s="47"/>
      <c r="L50" s="47"/>
      <c r="M50" s="47"/>
      <c r="N50" s="47"/>
      <c r="O50" s="47"/>
    </row>
    <row r="51" spans="1:15" ht="19.5" x14ac:dyDescent="0.4">
      <c r="A51" s="153">
        <f>A35+A50+A48+A44+A49</f>
        <v>189.87794117647059</v>
      </c>
      <c r="B51" s="153">
        <f>B35+B50+B48+B44+B49</f>
        <v>302.81411764705882</v>
      </c>
      <c r="C51" s="115" t="s">
        <v>71</v>
      </c>
      <c r="D51" s="115"/>
      <c r="E51" s="115"/>
      <c r="F51" s="115"/>
      <c r="G51" s="116"/>
      <c r="H51" s="47"/>
      <c r="I51" s="47"/>
      <c r="J51" s="47"/>
      <c r="K51" s="47"/>
      <c r="L51" s="47"/>
      <c r="M51" s="47"/>
      <c r="N51" s="47"/>
      <c r="O51" s="47"/>
    </row>
    <row r="52" spans="1:15" ht="20.25" thickBot="1" x14ac:dyDescent="0.45">
      <c r="A52" s="154">
        <f>A51*A34+B51*B34</f>
        <v>201.17155882352941</v>
      </c>
      <c r="B52" s="117" t="s">
        <v>65</v>
      </c>
      <c r="C52" s="117"/>
      <c r="D52" s="117"/>
      <c r="E52" s="117"/>
      <c r="F52" s="117"/>
      <c r="G52" s="118"/>
      <c r="H52" s="47"/>
      <c r="I52" s="47"/>
      <c r="J52" s="47"/>
      <c r="K52" s="47"/>
      <c r="L52" s="47"/>
      <c r="M52" s="47"/>
      <c r="N52" s="47"/>
      <c r="O52" s="47"/>
    </row>
    <row r="53" spans="1:15" ht="20.25" thickBot="1" x14ac:dyDescent="0.45">
      <c r="A53" s="47"/>
      <c r="B53" s="47"/>
      <c r="C53" s="47"/>
      <c r="D53" s="47"/>
      <c r="E53" s="47"/>
      <c r="F53" s="47"/>
      <c r="G53" s="47"/>
      <c r="H53" s="47"/>
      <c r="I53" s="47"/>
      <c r="J53" s="47"/>
      <c r="K53" s="47"/>
      <c r="L53" s="47"/>
      <c r="M53" s="47"/>
      <c r="N53" s="47"/>
      <c r="O53" s="47"/>
    </row>
    <row r="54" spans="1:15" ht="19.5" x14ac:dyDescent="0.4">
      <c r="A54" s="75" t="s">
        <v>74</v>
      </c>
      <c r="B54" s="76"/>
      <c r="C54" s="76"/>
      <c r="D54" s="76"/>
      <c r="E54" s="76"/>
      <c r="F54" s="76"/>
      <c r="G54" s="77"/>
      <c r="H54" s="47"/>
      <c r="I54" s="47"/>
      <c r="J54" s="47"/>
      <c r="K54" s="47"/>
      <c r="L54" s="47"/>
      <c r="M54" s="47"/>
      <c r="N54" s="47"/>
      <c r="O54" s="47"/>
    </row>
    <row r="55" spans="1:15" ht="19.5" x14ac:dyDescent="0.4">
      <c r="A55" s="119">
        <f>sccloss!A20*'totals and goals'!A17/'totals and goals'!A19</f>
        <v>9.9750000000000019E-2</v>
      </c>
      <c r="B55" s="60" t="s">
        <v>103</v>
      </c>
      <c r="C55" s="60"/>
      <c r="D55" s="60"/>
      <c r="E55" s="60"/>
      <c r="F55" s="60"/>
      <c r="G55" s="61"/>
      <c r="H55" s="47"/>
      <c r="I55" s="47"/>
      <c r="J55" s="47"/>
      <c r="K55" s="47"/>
      <c r="L55" s="47"/>
      <c r="M55" s="47"/>
      <c r="N55" s="47"/>
      <c r="O55" s="47"/>
    </row>
    <row r="56" spans="1:15" ht="19.5" x14ac:dyDescent="0.4">
      <c r="A56" s="149">
        <f>sccloss!A34*'totals and goals'!A18/'totals and goals'!A19</f>
        <v>0.40732620320855617</v>
      </c>
      <c r="B56" s="101" t="s">
        <v>104</v>
      </c>
      <c r="C56" s="101"/>
      <c r="D56" s="101"/>
      <c r="E56" s="101"/>
      <c r="F56" s="101"/>
      <c r="G56" s="137"/>
      <c r="H56" s="47"/>
      <c r="I56" s="47"/>
      <c r="J56" s="47"/>
      <c r="K56" s="47"/>
      <c r="L56" s="47"/>
      <c r="M56" s="47"/>
      <c r="N56" s="47"/>
      <c r="O56" s="47"/>
    </row>
    <row r="57" spans="1:15" ht="20.25" thickBot="1" x14ac:dyDescent="0.45">
      <c r="A57" s="120">
        <f>A56+A55</f>
        <v>0.50707620320855618</v>
      </c>
      <c r="B57" s="65" t="s">
        <v>73</v>
      </c>
      <c r="C57" s="65"/>
      <c r="D57" s="65"/>
      <c r="E57" s="65"/>
      <c r="F57" s="65"/>
      <c r="G57" s="66"/>
      <c r="H57" s="47"/>
      <c r="I57" s="47"/>
      <c r="J57" s="47"/>
      <c r="K57" s="47"/>
      <c r="L57" s="47"/>
      <c r="M57" s="47"/>
      <c r="N57" s="47"/>
      <c r="O57" s="47"/>
    </row>
    <row r="58" spans="1:15" ht="20.25" thickBot="1" x14ac:dyDescent="0.45">
      <c r="A58" s="152"/>
      <c r="B58" s="47"/>
      <c r="C58" s="47"/>
      <c r="D58" s="47"/>
      <c r="E58" s="47"/>
      <c r="F58" s="47"/>
      <c r="G58" s="47"/>
      <c r="H58" s="47"/>
      <c r="I58" s="47"/>
      <c r="J58" s="47"/>
      <c r="K58" s="47"/>
      <c r="L58" s="47"/>
      <c r="M58" s="47"/>
      <c r="N58" s="47"/>
      <c r="O58" s="47"/>
    </row>
    <row r="59" spans="1:15" ht="19.5" x14ac:dyDescent="0.4">
      <c r="A59" s="82" t="s">
        <v>75</v>
      </c>
      <c r="B59" s="76"/>
      <c r="C59" s="76"/>
      <c r="D59" s="76"/>
      <c r="E59" s="76"/>
      <c r="F59" s="76"/>
      <c r="G59" s="77"/>
      <c r="H59" s="47"/>
      <c r="I59" s="47"/>
      <c r="J59" s="47"/>
      <c r="K59" s="47"/>
      <c r="L59" s="47"/>
      <c r="M59" s="47"/>
      <c r="N59" s="47"/>
      <c r="O59" s="47"/>
    </row>
    <row r="60" spans="1:15" ht="19.5" x14ac:dyDescent="0.4">
      <c r="A60" s="140">
        <f>B61*B62</f>
        <v>1435.5</v>
      </c>
      <c r="B60" s="60" t="s">
        <v>76</v>
      </c>
      <c r="C60" s="60"/>
      <c r="D60" s="60"/>
      <c r="E60" s="60"/>
      <c r="F60" s="60"/>
      <c r="G60" s="61"/>
      <c r="H60" s="47"/>
      <c r="I60" s="47"/>
      <c r="J60" s="47"/>
      <c r="K60" s="47"/>
      <c r="L60" s="47"/>
      <c r="M60" s="47"/>
      <c r="N60" s="47"/>
      <c r="O60" s="47"/>
    </row>
    <row r="61" spans="1:15" ht="19.5" x14ac:dyDescent="0.4">
      <c r="A61" s="121"/>
      <c r="B61" s="122">
        <f>A29-F14</f>
        <v>2</v>
      </c>
      <c r="C61" s="60" t="s">
        <v>77</v>
      </c>
      <c r="D61" s="60"/>
      <c r="E61" s="60"/>
      <c r="F61" s="60"/>
      <c r="G61" s="61"/>
      <c r="H61" s="47"/>
      <c r="I61" s="47"/>
      <c r="J61" s="47"/>
      <c r="K61" s="47"/>
      <c r="L61" s="47"/>
      <c r="M61" s="47"/>
      <c r="N61" s="47"/>
      <c r="O61" s="47"/>
    </row>
    <row r="62" spans="1:15" ht="19.5" x14ac:dyDescent="0.4">
      <c r="A62" s="121"/>
      <c r="B62" s="151">
        <f>H31-H25</f>
        <v>717.75</v>
      </c>
      <c r="C62" s="101" t="s">
        <v>78</v>
      </c>
      <c r="D62" s="101"/>
      <c r="E62" s="101"/>
      <c r="F62" s="101"/>
      <c r="G62" s="137"/>
      <c r="H62" s="47"/>
      <c r="I62" s="47"/>
      <c r="J62" s="47"/>
      <c r="K62" s="47"/>
      <c r="L62" s="47"/>
      <c r="M62" s="47"/>
      <c r="N62" s="47"/>
      <c r="O62" s="47"/>
    </row>
    <row r="63" spans="1:15" ht="19.5" x14ac:dyDescent="0.4">
      <c r="A63" s="144">
        <f>B64*B65</f>
        <v>2655.5</v>
      </c>
      <c r="B63" s="60" t="s">
        <v>79</v>
      </c>
      <c r="C63" s="60"/>
      <c r="D63" s="60"/>
      <c r="E63" s="60"/>
      <c r="F63" s="60"/>
      <c r="G63" s="61"/>
      <c r="H63" s="47"/>
      <c r="I63" s="47"/>
      <c r="J63" s="47"/>
      <c r="K63" s="47"/>
      <c r="L63" s="47"/>
      <c r="M63" s="47"/>
      <c r="N63" s="47"/>
      <c r="O63" s="47"/>
    </row>
    <row r="64" spans="1:15" ht="19.5" x14ac:dyDescent="0.4">
      <c r="A64" s="121"/>
      <c r="B64" s="122">
        <f>A27-F12</f>
        <v>2</v>
      </c>
      <c r="C64" s="101" t="s">
        <v>105</v>
      </c>
      <c r="D64" s="101"/>
      <c r="E64" s="101"/>
      <c r="F64" s="101"/>
      <c r="G64" s="137"/>
      <c r="H64" s="47"/>
      <c r="I64" s="47"/>
      <c r="J64" s="47"/>
      <c r="K64" s="47"/>
      <c r="L64" s="47"/>
      <c r="M64" s="47"/>
      <c r="N64" s="47"/>
      <c r="O64" s="47"/>
    </row>
    <row r="65" spans="1:15" ht="20.25" thickBot="1" x14ac:dyDescent="0.45">
      <c r="A65" s="123"/>
      <c r="B65" s="150">
        <f>H31+I30</f>
        <v>1327.75</v>
      </c>
      <c r="C65" s="65" t="s">
        <v>80</v>
      </c>
      <c r="D65" s="65"/>
      <c r="E65" s="65"/>
      <c r="F65" s="65"/>
      <c r="G65" s="66"/>
      <c r="H65" s="47"/>
      <c r="I65" s="47"/>
      <c r="J65" s="47"/>
      <c r="K65" s="47"/>
      <c r="L65" s="47"/>
      <c r="M65" s="47"/>
      <c r="N65" s="47"/>
      <c r="O65" s="47"/>
    </row>
    <row r="66" spans="1:15" ht="19.5" x14ac:dyDescent="0.4">
      <c r="A66" s="47"/>
      <c r="B66" s="47"/>
      <c r="C66" s="47"/>
      <c r="D66" s="47"/>
      <c r="E66" s="47"/>
      <c r="F66" s="47"/>
      <c r="G66" s="47"/>
      <c r="H66" s="47"/>
      <c r="I66" s="47"/>
      <c r="J66" s="47"/>
      <c r="K66" s="47"/>
      <c r="L66" s="47"/>
      <c r="M66" s="47"/>
      <c r="N66" s="47"/>
      <c r="O66" s="47"/>
    </row>
    <row r="67" spans="1:15" ht="19.5" x14ac:dyDescent="0.4">
      <c r="A67" s="47"/>
      <c r="B67" s="47"/>
      <c r="C67" s="47"/>
      <c r="D67" s="47"/>
      <c r="E67" s="47"/>
      <c r="F67" s="47"/>
      <c r="G67" s="47"/>
      <c r="H67" s="47"/>
      <c r="I67" s="47"/>
      <c r="J67" s="47"/>
      <c r="K67" s="47"/>
      <c r="L67" s="47"/>
      <c r="M67" s="47"/>
      <c r="N67" s="47"/>
      <c r="O67" s="47"/>
    </row>
    <row r="68" spans="1:15" ht="19.5" x14ac:dyDescent="0.4">
      <c r="A68" s="47"/>
      <c r="B68" s="47"/>
      <c r="C68" s="47"/>
      <c r="D68" s="47"/>
      <c r="E68" s="47"/>
      <c r="F68" s="47"/>
      <c r="G68" s="47"/>
      <c r="H68" s="47"/>
      <c r="I68" s="47"/>
      <c r="J68" s="47"/>
      <c r="K68" s="47"/>
      <c r="L68" s="47"/>
      <c r="M68" s="47"/>
      <c r="N68" s="47"/>
      <c r="O68" s="47"/>
    </row>
    <row r="69" spans="1:15" ht="19.5" x14ac:dyDescent="0.4">
      <c r="A69" s="47"/>
      <c r="B69" s="47"/>
      <c r="C69" s="47"/>
      <c r="D69" s="47"/>
      <c r="E69" s="47"/>
      <c r="F69" s="47"/>
      <c r="G69" s="47"/>
      <c r="H69" s="47"/>
      <c r="I69" s="47"/>
      <c r="J69" s="47"/>
      <c r="K69" s="47"/>
      <c r="L69" s="47"/>
      <c r="M69" s="47"/>
      <c r="N69" s="47"/>
      <c r="O69" s="47"/>
    </row>
  </sheetData>
  <phoneticPr fontId="0" type="noConversion"/>
  <pageMargins left="0.75" right="0.75" top="1" bottom="1" header="0.5" footer="0.5"/>
  <pageSetup scale="47" fitToHeight="0" orientation="portrait" horizontalDpi="4294967293" verticalDpi="300" r:id="rId1"/>
  <headerFooter alignWithMargins="0"/>
  <ignoredErrors>
    <ignoredError sqref="B38"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zoomScale="75" workbookViewId="0">
      <selection activeCell="B5" sqref="B5"/>
    </sheetView>
  </sheetViews>
  <sheetFormatPr baseColWidth="10" defaultColWidth="9" defaultRowHeight="15.75" x14ac:dyDescent="0.25"/>
  <cols>
    <col min="9" max="10" width="10.25" customWidth="1"/>
    <col min="11" max="11" width="9" customWidth="1"/>
    <col min="13" max="15" width="9" customWidth="1"/>
  </cols>
  <sheetData>
    <row r="1" spans="1:22" x14ac:dyDescent="0.25">
      <c r="A1" s="1" t="s">
        <v>12</v>
      </c>
    </row>
    <row r="2" spans="1:22" x14ac:dyDescent="0.25">
      <c r="B2" s="4">
        <f>ROUND(('totals and goals'!A13/50),0)*50</f>
        <v>100</v>
      </c>
      <c r="C2" s="4" t="s">
        <v>18</v>
      </c>
      <c r="D2" s="5"/>
      <c r="E2" s="5"/>
    </row>
    <row r="3" spans="1:22" x14ac:dyDescent="0.25">
      <c r="B3" s="4">
        <f>ROUND(('totals and goals'!A14/50),0)*50</f>
        <v>200</v>
      </c>
      <c r="C3" s="4" t="s">
        <v>19</v>
      </c>
      <c r="D3" s="4"/>
      <c r="E3" s="4"/>
    </row>
    <row r="4" spans="1:22" x14ac:dyDescent="0.25">
      <c r="B4" s="4">
        <f>ROUND(('totals and goals'!A23)/50,0)*50</f>
        <v>250</v>
      </c>
      <c r="C4" s="4" t="s">
        <v>17</v>
      </c>
      <c r="D4" s="5"/>
      <c r="E4" s="5"/>
      <c r="F4" s="1" t="s">
        <v>13</v>
      </c>
    </row>
    <row r="5" spans="1:22" x14ac:dyDescent="0.25">
      <c r="B5" s="4">
        <f>ROUND(('totals and goals'!D23)/50,0)*50</f>
        <v>350</v>
      </c>
      <c r="C5" s="4" t="s">
        <v>16</v>
      </c>
      <c r="D5" s="5"/>
      <c r="E5" s="5"/>
    </row>
    <row r="6" spans="1:22" x14ac:dyDescent="0.25">
      <c r="B6" s="4">
        <v>100</v>
      </c>
      <c r="C6" s="4" t="s">
        <v>14</v>
      </c>
      <c r="D6" s="5"/>
      <c r="E6" s="5"/>
    </row>
    <row r="7" spans="1:22" x14ac:dyDescent="0.25">
      <c r="A7" s="25"/>
      <c r="C7" s="23"/>
      <c r="D7" s="23"/>
      <c r="E7" s="23"/>
      <c r="K7" s="10"/>
      <c r="L7" s="10"/>
      <c r="M7" s="10"/>
      <c r="N7" s="10"/>
      <c r="O7" s="10"/>
      <c r="P7" s="10"/>
      <c r="Q7" s="10"/>
      <c r="R7" s="10"/>
      <c r="S7" s="10"/>
      <c r="T7" s="10"/>
      <c r="U7" s="10"/>
      <c r="V7" s="10"/>
    </row>
    <row r="8" spans="1:22" x14ac:dyDescent="0.25">
      <c r="A8" s="43" t="s">
        <v>1</v>
      </c>
      <c r="B8" s="44" t="s">
        <v>11</v>
      </c>
      <c r="C8" s="45"/>
      <c r="D8" s="26"/>
      <c r="E8" s="26"/>
      <c r="F8" s="6"/>
      <c r="G8" s="6"/>
      <c r="H8" s="6"/>
      <c r="I8" s="6"/>
      <c r="J8" s="6"/>
      <c r="K8" s="27"/>
      <c r="L8" s="27"/>
      <c r="M8" s="27"/>
      <c r="N8" s="27"/>
      <c r="O8" s="27"/>
      <c r="P8" s="27"/>
      <c r="Q8" s="27"/>
      <c r="R8" s="27"/>
      <c r="S8" s="27"/>
      <c r="T8" s="27"/>
      <c r="U8" s="27"/>
      <c r="V8" s="27"/>
    </row>
    <row r="9" spans="1:22" x14ac:dyDescent="0.25">
      <c r="A9" s="7" t="s">
        <v>3</v>
      </c>
      <c r="B9" s="7" t="s">
        <v>3</v>
      </c>
      <c r="C9" s="28" t="s">
        <v>4</v>
      </c>
      <c r="D9" s="28" t="s">
        <v>5</v>
      </c>
      <c r="E9" s="28" t="s">
        <v>6</v>
      </c>
      <c r="F9" s="7" t="s">
        <v>7</v>
      </c>
      <c r="G9" s="7" t="s">
        <v>8</v>
      </c>
      <c r="H9" s="7" t="s">
        <v>9</v>
      </c>
      <c r="I9" s="9" t="s">
        <v>10</v>
      </c>
      <c r="J9" s="7">
        <v>100</v>
      </c>
      <c r="K9" s="29">
        <v>150</v>
      </c>
      <c r="L9" s="29">
        <v>200</v>
      </c>
      <c r="M9" s="29">
        <f>L9+50</f>
        <v>250</v>
      </c>
      <c r="N9" s="29">
        <f t="shared" ref="N9:V9" si="0">M9+50</f>
        <v>300</v>
      </c>
      <c r="O9" s="29">
        <f t="shared" si="0"/>
        <v>350</v>
      </c>
      <c r="P9" s="29">
        <f t="shared" si="0"/>
        <v>400</v>
      </c>
      <c r="Q9" s="29">
        <f t="shared" si="0"/>
        <v>450</v>
      </c>
      <c r="R9" s="29">
        <f t="shared" si="0"/>
        <v>500</v>
      </c>
      <c r="S9" s="29">
        <f t="shared" si="0"/>
        <v>550</v>
      </c>
      <c r="T9" s="29">
        <f t="shared" si="0"/>
        <v>600</v>
      </c>
      <c r="U9" s="29">
        <f t="shared" si="0"/>
        <v>650</v>
      </c>
      <c r="V9" s="29">
        <f t="shared" si="0"/>
        <v>700</v>
      </c>
    </row>
    <row r="10" spans="1:22" x14ac:dyDescent="0.25">
      <c r="A10" s="41">
        <f t="shared" ref="A10:A19" si="1">$B$6*C10*B10</f>
        <v>0</v>
      </c>
      <c r="B10">
        <v>0</v>
      </c>
      <c r="C10" s="10">
        <f>E10-D10</f>
        <v>-5.6711229946524069E-2</v>
      </c>
      <c r="D10" s="10">
        <f>HLOOKUP($B$2,$J$9:$V$19,2)</f>
        <v>0.17224598930481283</v>
      </c>
      <c r="E10" s="10">
        <f>HLOOKUP($B$4,$K$9:$V$19,2)</f>
        <v>0.11553475935828876</v>
      </c>
      <c r="F10" s="1">
        <v>0</v>
      </c>
      <c r="G10" s="30">
        <v>0.14199999999999999</v>
      </c>
      <c r="H10" s="30">
        <v>5.8823529411764705E-2</v>
      </c>
      <c r="I10" s="31">
        <f>(H10-G10)/220</f>
        <v>-3.7807486631016038E-4</v>
      </c>
      <c r="J10" s="10">
        <f t="shared" ref="J10:V19" si="2">$G10+(J$9-180)*$I10</f>
        <v>0.17224598930481283</v>
      </c>
      <c r="K10" s="10">
        <f t="shared" si="2"/>
        <v>0.15334224598930479</v>
      </c>
      <c r="L10" s="10">
        <f t="shared" si="2"/>
        <v>0.13443850267379678</v>
      </c>
      <c r="M10" s="10">
        <f t="shared" si="2"/>
        <v>0.11553475935828876</v>
      </c>
      <c r="N10" s="10">
        <f t="shared" si="2"/>
        <v>9.6631016042780737E-2</v>
      </c>
      <c r="O10" s="10">
        <f t="shared" si="2"/>
        <v>7.7727272727272728E-2</v>
      </c>
      <c r="P10" s="10">
        <f t="shared" si="2"/>
        <v>5.8823529411764705E-2</v>
      </c>
      <c r="Q10" s="10">
        <f t="shared" si="2"/>
        <v>3.9919786096256682E-2</v>
      </c>
      <c r="R10" s="10">
        <f t="shared" si="2"/>
        <v>2.1016042780748673E-2</v>
      </c>
      <c r="S10" s="10">
        <f t="shared" si="2"/>
        <v>2.1122994652406357E-3</v>
      </c>
      <c r="T10" s="10">
        <f t="shared" si="2"/>
        <v>-1.6791443850267374E-2</v>
      </c>
      <c r="U10" s="10">
        <f t="shared" si="2"/>
        <v>-3.5695187165775383E-2</v>
      </c>
      <c r="V10" s="10">
        <f t="shared" si="2"/>
        <v>-5.459893048128342E-2</v>
      </c>
    </row>
    <row r="11" spans="1:22" x14ac:dyDescent="0.25">
      <c r="A11" s="41">
        <f t="shared" si="1"/>
        <v>0</v>
      </c>
      <c r="B11">
        <v>0</v>
      </c>
      <c r="C11" s="10">
        <f t="shared" ref="C11:C19" si="3">E11-D11</f>
        <v>-6.4852941176470558E-2</v>
      </c>
      <c r="D11" s="10">
        <f>HLOOKUP($B$2,$J$9:$V$19,3)</f>
        <v>0.33558823529411763</v>
      </c>
      <c r="E11" s="10">
        <f>HLOOKUP($B$4,$K$9:$V$19,3)</f>
        <v>0.27073529411764707</v>
      </c>
      <c r="F11" s="1">
        <v>1</v>
      </c>
      <c r="G11" s="30">
        <v>0.30099999999999999</v>
      </c>
      <c r="H11" s="30">
        <v>0.20588235294117646</v>
      </c>
      <c r="I11" s="31">
        <f t="shared" ref="I11:I19" si="4">(H11-G11)/220</f>
        <v>-4.3235294117647058E-4</v>
      </c>
      <c r="J11" s="10">
        <f t="shared" si="2"/>
        <v>0.33558823529411763</v>
      </c>
      <c r="K11" s="10">
        <f t="shared" si="2"/>
        <v>0.31397058823529411</v>
      </c>
      <c r="L11" s="10">
        <f t="shared" si="2"/>
        <v>0.29235294117647059</v>
      </c>
      <c r="M11" s="10">
        <f t="shared" si="2"/>
        <v>0.27073529411764707</v>
      </c>
      <c r="N11" s="10">
        <f t="shared" si="2"/>
        <v>0.24911764705882353</v>
      </c>
      <c r="O11" s="10">
        <f t="shared" si="2"/>
        <v>0.22749999999999998</v>
      </c>
      <c r="P11" s="10">
        <f t="shared" si="2"/>
        <v>0.20588235294117646</v>
      </c>
      <c r="Q11" s="10">
        <f t="shared" si="2"/>
        <v>0.18426470588235294</v>
      </c>
      <c r="R11" s="10">
        <f t="shared" si="2"/>
        <v>0.16264705882352939</v>
      </c>
      <c r="S11" s="10">
        <f t="shared" si="2"/>
        <v>0.14102941176470588</v>
      </c>
      <c r="T11" s="10">
        <f t="shared" si="2"/>
        <v>0.11941176470588236</v>
      </c>
      <c r="U11" s="10">
        <f t="shared" si="2"/>
        <v>9.7794117647058809E-2</v>
      </c>
      <c r="V11" s="10">
        <f t="shared" si="2"/>
        <v>7.617647058823529E-2</v>
      </c>
    </row>
    <row r="12" spans="1:22" x14ac:dyDescent="0.25">
      <c r="A12" s="41">
        <f t="shared" si="1"/>
        <v>0</v>
      </c>
      <c r="B12">
        <v>0</v>
      </c>
      <c r="C12" s="10">
        <f t="shared" si="3"/>
        <v>-4.8128342245987166E-4</v>
      </c>
      <c r="D12" s="10">
        <f>HLOOKUP($B$2,$J$9:$V$19,4)</f>
        <v>0.23625668449197859</v>
      </c>
      <c r="E12" s="10">
        <f>HLOOKUP($B$4,$K$9:$V$19,4)</f>
        <v>0.23577540106951872</v>
      </c>
      <c r="F12" s="1">
        <v>2</v>
      </c>
      <c r="G12" s="30">
        <v>0.23599999999999999</v>
      </c>
      <c r="H12" s="30">
        <v>0.23529411764705882</v>
      </c>
      <c r="I12" s="31">
        <f t="shared" si="4"/>
        <v>-3.2085561497325786E-6</v>
      </c>
      <c r="J12" s="10">
        <f t="shared" si="2"/>
        <v>0.23625668449197859</v>
      </c>
      <c r="K12" s="10">
        <f t="shared" si="2"/>
        <v>0.23609625668449197</v>
      </c>
      <c r="L12" s="10">
        <f t="shared" si="2"/>
        <v>0.23593582887700534</v>
      </c>
      <c r="M12" s="10">
        <f t="shared" si="2"/>
        <v>0.23577540106951872</v>
      </c>
      <c r="N12" s="10">
        <f t="shared" si="2"/>
        <v>0.23561497326203207</v>
      </c>
      <c r="O12" s="10">
        <f t="shared" si="2"/>
        <v>0.23545454545454544</v>
      </c>
      <c r="P12" s="10">
        <f t="shared" si="2"/>
        <v>0.23529411764705882</v>
      </c>
      <c r="Q12" s="10">
        <f t="shared" si="2"/>
        <v>0.2351336898395722</v>
      </c>
      <c r="R12" s="10">
        <f t="shared" si="2"/>
        <v>0.23497326203208557</v>
      </c>
      <c r="S12" s="10">
        <f t="shared" si="2"/>
        <v>0.23481283422459892</v>
      </c>
      <c r="T12" s="10">
        <f t="shared" si="2"/>
        <v>0.2346524064171123</v>
      </c>
      <c r="U12" s="10">
        <f t="shared" si="2"/>
        <v>0.23449197860962567</v>
      </c>
      <c r="V12" s="10">
        <f t="shared" si="2"/>
        <v>0.23433155080213905</v>
      </c>
    </row>
    <row r="13" spans="1:22" x14ac:dyDescent="0.25">
      <c r="A13" s="41">
        <f t="shared" si="1"/>
        <v>1.4919786096256689</v>
      </c>
      <c r="B13">
        <v>0.6</v>
      </c>
      <c r="C13" s="10">
        <f t="shared" si="3"/>
        <v>2.4866310160427813E-2</v>
      </c>
      <c r="D13" s="10">
        <f>HLOOKUP($B$2,$J$9:$V$19,5)</f>
        <v>0.1267379679144385</v>
      </c>
      <c r="E13" s="10">
        <f>HLOOKUP($B$4,$K$9:$V$19,5)</f>
        <v>0.15160427807486632</v>
      </c>
      <c r="F13" s="1">
        <v>3</v>
      </c>
      <c r="G13" s="30">
        <v>0.14000000000000001</v>
      </c>
      <c r="H13" s="30">
        <v>0.17647058823529413</v>
      </c>
      <c r="I13" s="31">
        <f t="shared" si="4"/>
        <v>1.6577540106951872E-4</v>
      </c>
      <c r="J13" s="10">
        <f t="shared" si="2"/>
        <v>0.1267379679144385</v>
      </c>
      <c r="K13" s="10">
        <f t="shared" si="2"/>
        <v>0.13502673796791445</v>
      </c>
      <c r="L13" s="10">
        <f t="shared" si="2"/>
        <v>0.1433155080213904</v>
      </c>
      <c r="M13" s="10">
        <f t="shared" si="2"/>
        <v>0.15160427807486632</v>
      </c>
      <c r="N13" s="10">
        <f t="shared" si="2"/>
        <v>0.15989304812834226</v>
      </c>
      <c r="O13" s="10">
        <f t="shared" si="2"/>
        <v>0.16818181818181821</v>
      </c>
      <c r="P13" s="10">
        <f t="shared" si="2"/>
        <v>0.17647058823529413</v>
      </c>
      <c r="Q13" s="10">
        <f t="shared" si="2"/>
        <v>0.18475935828877008</v>
      </c>
      <c r="R13" s="10">
        <f t="shared" si="2"/>
        <v>0.19304812834224599</v>
      </c>
      <c r="S13" s="10">
        <f t="shared" si="2"/>
        <v>0.20133689839572194</v>
      </c>
      <c r="T13" s="10">
        <f t="shared" si="2"/>
        <v>0.20962566844919789</v>
      </c>
      <c r="U13" s="10">
        <f t="shared" si="2"/>
        <v>0.21791443850267381</v>
      </c>
      <c r="V13" s="10">
        <f t="shared" si="2"/>
        <v>0.22620320855614975</v>
      </c>
    </row>
    <row r="14" spans="1:22" x14ac:dyDescent="0.25">
      <c r="A14" s="41">
        <f t="shared" si="1"/>
        <v>3.0709893048128345</v>
      </c>
      <c r="B14" s="2">
        <v>1.3</v>
      </c>
      <c r="C14" s="10">
        <f t="shared" si="3"/>
        <v>2.3622994652406415E-2</v>
      </c>
      <c r="D14" s="10">
        <f>HLOOKUP($B$2,$J$9:$V$19,6)</f>
        <v>7.040106951871658E-2</v>
      </c>
      <c r="E14" s="10">
        <f>HLOOKUP($B$4,$K$9:$V$19,6)</f>
        <v>9.4024064171122995E-2</v>
      </c>
      <c r="F14" s="15">
        <v>4</v>
      </c>
      <c r="G14" s="16">
        <v>8.3000000000000004E-2</v>
      </c>
      <c r="H14" s="16">
        <v>0.11764705882352941</v>
      </c>
      <c r="I14" s="31">
        <f t="shared" si="4"/>
        <v>1.5748663101604275E-4</v>
      </c>
      <c r="J14" s="10">
        <f t="shared" si="2"/>
        <v>7.040106951871658E-2</v>
      </c>
      <c r="K14" s="10">
        <f t="shared" si="2"/>
        <v>7.8275401069518719E-2</v>
      </c>
      <c r="L14" s="10">
        <f t="shared" si="2"/>
        <v>8.6149732620320857E-2</v>
      </c>
      <c r="M14" s="10">
        <f t="shared" si="2"/>
        <v>9.4024064171122995E-2</v>
      </c>
      <c r="N14" s="10">
        <f t="shared" si="2"/>
        <v>0.10189839572192513</v>
      </c>
      <c r="O14" s="10">
        <f t="shared" si="2"/>
        <v>0.10977272727272727</v>
      </c>
      <c r="P14" s="10">
        <f t="shared" si="2"/>
        <v>0.11764705882352941</v>
      </c>
      <c r="Q14" s="10">
        <f t="shared" si="2"/>
        <v>0.12552139037433155</v>
      </c>
      <c r="R14" s="10">
        <f t="shared" si="2"/>
        <v>0.13339572192513369</v>
      </c>
      <c r="S14" s="10">
        <f t="shared" si="2"/>
        <v>0.14127005347593583</v>
      </c>
      <c r="T14" s="10">
        <f t="shared" si="2"/>
        <v>0.14914438502673796</v>
      </c>
      <c r="U14" s="10">
        <f t="shared" si="2"/>
        <v>0.1570187165775401</v>
      </c>
      <c r="V14" s="10">
        <f t="shared" si="2"/>
        <v>0.16489304812834224</v>
      </c>
    </row>
    <row r="15" spans="1:22" x14ac:dyDescent="0.25">
      <c r="A15" s="41">
        <f t="shared" si="1"/>
        <v>5.6229946524064172</v>
      </c>
      <c r="B15">
        <v>2</v>
      </c>
      <c r="C15" s="10">
        <f t="shared" si="3"/>
        <v>2.8114973262032085E-2</v>
      </c>
      <c r="D15" s="10">
        <f>HLOOKUP($B$2,$J$9:$V$19,7)</f>
        <v>3.2005347593582888E-2</v>
      </c>
      <c r="E15" s="10">
        <f>HLOOKUP($B$4,$K$9:$V$19,7)</f>
        <v>6.0120320855614973E-2</v>
      </c>
      <c r="F15" s="1">
        <v>5</v>
      </c>
      <c r="G15" s="30">
        <v>4.7E-2</v>
      </c>
      <c r="H15" s="30">
        <v>8.8235294117647065E-2</v>
      </c>
      <c r="I15" s="31">
        <f t="shared" si="4"/>
        <v>1.8743315508021392E-4</v>
      </c>
      <c r="J15" s="10">
        <f t="shared" si="2"/>
        <v>3.2005347593582888E-2</v>
      </c>
      <c r="K15" s="10">
        <f t="shared" si="2"/>
        <v>4.137700534759358E-2</v>
      </c>
      <c r="L15" s="10">
        <f t="shared" si="2"/>
        <v>5.074866310160428E-2</v>
      </c>
      <c r="M15" s="10">
        <f t="shared" si="2"/>
        <v>6.0120320855614973E-2</v>
      </c>
      <c r="N15" s="10">
        <f t="shared" si="2"/>
        <v>6.9491978609625665E-2</v>
      </c>
      <c r="O15" s="10">
        <f t="shared" si="2"/>
        <v>7.8863636363636358E-2</v>
      </c>
      <c r="P15" s="10">
        <f t="shared" si="2"/>
        <v>8.8235294117647065E-2</v>
      </c>
      <c r="Q15" s="10">
        <f t="shared" si="2"/>
        <v>9.7606951871657757E-2</v>
      </c>
      <c r="R15" s="10">
        <f t="shared" si="2"/>
        <v>0.10697860962566846</v>
      </c>
      <c r="S15" s="10">
        <f t="shared" si="2"/>
        <v>0.11635026737967916</v>
      </c>
      <c r="T15" s="10">
        <f t="shared" si="2"/>
        <v>0.12572192513368985</v>
      </c>
      <c r="U15" s="10">
        <f t="shared" si="2"/>
        <v>0.13509358288770054</v>
      </c>
      <c r="V15" s="10">
        <f t="shared" si="2"/>
        <v>0.14446524064171123</v>
      </c>
    </row>
    <row r="16" spans="1:22" x14ac:dyDescent="0.25">
      <c r="A16" s="41">
        <f t="shared" si="1"/>
        <v>5.8187165775401075</v>
      </c>
      <c r="B16">
        <v>2.6</v>
      </c>
      <c r="C16" s="10">
        <f t="shared" si="3"/>
        <v>2.2379679144385031E-2</v>
      </c>
      <c r="D16" s="10">
        <f>HLOOKUP($B$2,$J$9:$V$19,8)</f>
        <v>1.4064171122994649E-2</v>
      </c>
      <c r="E16" s="10">
        <f>HLOOKUP($B$4,$K$9:$V$19,8)</f>
        <v>3.6443850267379681E-2</v>
      </c>
      <c r="F16" s="1">
        <v>6</v>
      </c>
      <c r="G16" s="30">
        <v>2.5999999999999999E-2</v>
      </c>
      <c r="H16" s="30">
        <v>5.8823529411764705E-2</v>
      </c>
      <c r="I16" s="31">
        <f t="shared" si="4"/>
        <v>1.4919786096256687E-4</v>
      </c>
      <c r="J16" s="10">
        <f t="shared" si="2"/>
        <v>1.4064171122994649E-2</v>
      </c>
      <c r="K16" s="10">
        <f t="shared" si="2"/>
        <v>2.1524064171122993E-2</v>
      </c>
      <c r="L16" s="10">
        <f t="shared" si="2"/>
        <v>2.8983957219251337E-2</v>
      </c>
      <c r="M16" s="10">
        <f t="shared" si="2"/>
        <v>3.6443850267379681E-2</v>
      </c>
      <c r="N16" s="10">
        <f t="shared" si="2"/>
        <v>4.3903743315508018E-2</v>
      </c>
      <c r="O16" s="10">
        <f t="shared" si="2"/>
        <v>5.1363636363636361E-2</v>
      </c>
      <c r="P16" s="10">
        <f t="shared" si="2"/>
        <v>5.8823529411764705E-2</v>
      </c>
      <c r="Q16" s="10">
        <f t="shared" si="2"/>
        <v>6.6283422459893049E-2</v>
      </c>
      <c r="R16" s="10">
        <f t="shared" si="2"/>
        <v>7.3743315508021393E-2</v>
      </c>
      <c r="S16" s="10">
        <f t="shared" si="2"/>
        <v>8.1203208556149736E-2</v>
      </c>
      <c r="T16" s="10">
        <f t="shared" si="2"/>
        <v>8.866310160427808E-2</v>
      </c>
      <c r="U16" s="10">
        <f t="shared" si="2"/>
        <v>9.6122994652406424E-2</v>
      </c>
      <c r="V16" s="10">
        <f t="shared" si="2"/>
        <v>0.10358288770053477</v>
      </c>
    </row>
    <row r="17" spans="1:22" x14ac:dyDescent="0.25">
      <c r="A17" s="41">
        <f t="shared" si="1"/>
        <v>3.46764705882353</v>
      </c>
      <c r="B17">
        <v>3.3</v>
      </c>
      <c r="C17" s="10">
        <f t="shared" si="3"/>
        <v>1.0508021390374333E-2</v>
      </c>
      <c r="D17" s="10">
        <f>HLOOKUP($B$2,$J$9:$V$19,9)</f>
        <v>8.3957219251336902E-3</v>
      </c>
      <c r="E17" s="10">
        <f>HLOOKUP($B$4,$K$9:$V$19,9)</f>
        <v>1.8903743315508023E-2</v>
      </c>
      <c r="F17" s="1">
        <v>7</v>
      </c>
      <c r="G17" s="30">
        <v>1.4E-2</v>
      </c>
      <c r="H17" s="30">
        <v>2.9411764705882353E-2</v>
      </c>
      <c r="I17" s="31">
        <f t="shared" si="4"/>
        <v>7.0053475935828876E-5</v>
      </c>
      <c r="J17" s="10">
        <f t="shared" si="2"/>
        <v>8.3957219251336902E-3</v>
      </c>
      <c r="K17" s="10">
        <f t="shared" si="2"/>
        <v>1.1898395721925133E-2</v>
      </c>
      <c r="L17" s="10">
        <f t="shared" si="2"/>
        <v>1.5401069518716578E-2</v>
      </c>
      <c r="M17" s="10">
        <f t="shared" si="2"/>
        <v>1.8903743315508023E-2</v>
      </c>
      <c r="N17" s="10">
        <f t="shared" si="2"/>
        <v>2.2406417112299466E-2</v>
      </c>
      <c r="O17" s="10">
        <f t="shared" si="2"/>
        <v>2.5909090909090909E-2</v>
      </c>
      <c r="P17" s="10">
        <f t="shared" si="2"/>
        <v>2.9411764705882353E-2</v>
      </c>
      <c r="Q17" s="10">
        <f t="shared" si="2"/>
        <v>3.2914438502673796E-2</v>
      </c>
      <c r="R17" s="10">
        <f t="shared" si="2"/>
        <v>3.6417112299465239E-2</v>
      </c>
      <c r="S17" s="10">
        <f t="shared" si="2"/>
        <v>3.9919786096256682E-2</v>
      </c>
      <c r="T17" s="10">
        <f t="shared" si="2"/>
        <v>4.3422459893048125E-2</v>
      </c>
      <c r="U17" s="10">
        <f t="shared" si="2"/>
        <v>4.6925133689839568E-2</v>
      </c>
      <c r="V17" s="10">
        <f t="shared" si="2"/>
        <v>5.0427807486631011E-2</v>
      </c>
    </row>
    <row r="18" spans="1:22" x14ac:dyDescent="0.25">
      <c r="A18" s="41">
        <f t="shared" si="1"/>
        <v>5.6935828877005346</v>
      </c>
      <c r="B18">
        <v>3.9</v>
      </c>
      <c r="C18" s="10">
        <f t="shared" si="3"/>
        <v>1.4598930481283422E-2</v>
      </c>
      <c r="D18" s="10">
        <f>HLOOKUP($B$2,$J$9:$V$19,10)</f>
        <v>2.1390374331550777E-4</v>
      </c>
      <c r="E18" s="10">
        <f>HLOOKUP($B$4,$K$9:$V$19,10)</f>
        <v>1.481283422459893E-2</v>
      </c>
      <c r="F18" s="1">
        <v>8</v>
      </c>
      <c r="G18" s="30">
        <v>8.0000000000000002E-3</v>
      </c>
      <c r="H18" s="30">
        <v>2.9411764705882353E-2</v>
      </c>
      <c r="I18" s="31">
        <f t="shared" si="4"/>
        <v>9.7326203208556152E-5</v>
      </c>
      <c r="J18" s="10">
        <f t="shared" si="2"/>
        <v>2.1390374331550777E-4</v>
      </c>
      <c r="K18" s="10">
        <f>$G18+(K$9-180)*$I18+0.0014</f>
        <v>6.4802139037433157E-3</v>
      </c>
      <c r="L18" s="10">
        <f t="shared" si="2"/>
        <v>9.9465240641711233E-3</v>
      </c>
      <c r="M18" s="10">
        <f t="shared" si="2"/>
        <v>1.481283422459893E-2</v>
      </c>
      <c r="N18" s="10">
        <f t="shared" si="2"/>
        <v>1.9679144385026739E-2</v>
      </c>
      <c r="O18" s="10">
        <f t="shared" si="2"/>
        <v>2.4545454545454547E-2</v>
      </c>
      <c r="P18" s="10">
        <f t="shared" si="2"/>
        <v>2.9411764705882353E-2</v>
      </c>
      <c r="Q18" s="10">
        <f t="shared" si="2"/>
        <v>3.4278074866310161E-2</v>
      </c>
      <c r="R18" s="10">
        <f t="shared" si="2"/>
        <v>3.914438502673797E-2</v>
      </c>
      <c r="S18" s="10">
        <f t="shared" si="2"/>
        <v>4.4010695187165778E-2</v>
      </c>
      <c r="T18" s="10">
        <f t="shared" si="2"/>
        <v>4.8877005347593587E-2</v>
      </c>
      <c r="U18" s="10">
        <f t="shared" si="2"/>
        <v>5.3743315508021389E-2</v>
      </c>
      <c r="V18" s="10">
        <f t="shared" si="2"/>
        <v>5.8609625668449197E-2</v>
      </c>
    </row>
    <row r="19" spans="1:22" x14ac:dyDescent="0.25">
      <c r="A19" s="42">
        <f t="shared" si="1"/>
        <v>-0.94090909090909092</v>
      </c>
      <c r="B19" s="3">
        <v>4.5999999999999996</v>
      </c>
      <c r="C19" s="19">
        <f t="shared" si="3"/>
        <v>-2.0454545454545456E-3</v>
      </c>
      <c r="D19" s="19">
        <f>HLOOKUP($B$2,$J$9:$V$19,11)</f>
        <v>4.0909090909090912E-3</v>
      </c>
      <c r="E19" s="19">
        <f>HLOOKUP($B$4,$K$9:$V$19,11)</f>
        <v>2.0454545454545456E-3</v>
      </c>
      <c r="F19" s="20">
        <v>9</v>
      </c>
      <c r="G19" s="32">
        <v>3.0000000000000001E-3</v>
      </c>
      <c r="H19" s="32">
        <v>0</v>
      </c>
      <c r="I19" s="33">
        <f t="shared" si="4"/>
        <v>-1.3636363636363637E-5</v>
      </c>
      <c r="J19" s="19">
        <f t="shared" si="2"/>
        <v>4.0909090909090912E-3</v>
      </c>
      <c r="K19" s="19">
        <v>2E-3</v>
      </c>
      <c r="L19" s="19">
        <f t="shared" si="2"/>
        <v>2.7272727272727275E-3</v>
      </c>
      <c r="M19" s="19">
        <f t="shared" si="2"/>
        <v>2.0454545454545456E-3</v>
      </c>
      <c r="N19" s="19">
        <f t="shared" si="2"/>
        <v>1.3636363636363637E-3</v>
      </c>
      <c r="O19" s="19">
        <f t="shared" si="2"/>
        <v>6.8181818181818187E-4</v>
      </c>
      <c r="P19" s="19">
        <f t="shared" si="2"/>
        <v>0</v>
      </c>
      <c r="Q19" s="19">
        <f t="shared" si="2"/>
        <v>-6.8181818181818187E-4</v>
      </c>
      <c r="R19" s="19">
        <f t="shared" si="2"/>
        <v>-1.3636363636363637E-3</v>
      </c>
      <c r="S19" s="19">
        <f t="shared" si="2"/>
        <v>-2.0454545454545456E-3</v>
      </c>
      <c r="T19" s="19">
        <f t="shared" si="2"/>
        <v>-2.7272727272727275E-3</v>
      </c>
      <c r="U19" s="19">
        <f t="shared" si="2"/>
        <v>-3.4090909090909094E-3</v>
      </c>
      <c r="V19" s="19">
        <f t="shared" si="2"/>
        <v>-4.0909090909090912E-3</v>
      </c>
    </row>
    <row r="20" spans="1:22" x14ac:dyDescent="0.25">
      <c r="A20" s="39">
        <f>SUM(A10:A19)/B6</f>
        <v>0.24225000000000005</v>
      </c>
      <c r="B20" s="40" t="s">
        <v>15</v>
      </c>
      <c r="C20" s="23"/>
      <c r="D20" s="23"/>
      <c r="E20" s="23"/>
      <c r="J20" s="16">
        <f>SUM(J10:J19)</f>
        <v>1</v>
      </c>
      <c r="K20" s="16">
        <f>SUM(K10:K19)</f>
        <v>0.99999090909090893</v>
      </c>
      <c r="L20" s="24">
        <f t="shared" ref="L20:V20" si="5">SUM(L10:L19)</f>
        <v>0.99999999999999989</v>
      </c>
      <c r="M20" s="24">
        <f t="shared" si="5"/>
        <v>1</v>
      </c>
      <c r="N20" s="24">
        <f t="shared" si="5"/>
        <v>1</v>
      </c>
      <c r="O20" s="24">
        <f t="shared" si="5"/>
        <v>1</v>
      </c>
      <c r="P20" s="24">
        <f t="shared" si="5"/>
        <v>1</v>
      </c>
      <c r="Q20" s="24">
        <f t="shared" si="5"/>
        <v>1</v>
      </c>
      <c r="R20" s="24">
        <f t="shared" si="5"/>
        <v>0.99999999999999989</v>
      </c>
      <c r="S20" s="24">
        <f t="shared" si="5"/>
        <v>0.99999999999999989</v>
      </c>
      <c r="T20" s="24">
        <f t="shared" si="5"/>
        <v>1</v>
      </c>
      <c r="U20" s="24">
        <f t="shared" si="5"/>
        <v>1</v>
      </c>
      <c r="V20" s="24">
        <f t="shared" si="5"/>
        <v>1</v>
      </c>
    </row>
    <row r="21" spans="1:22" x14ac:dyDescent="0.25">
      <c r="A21" s="25"/>
      <c r="C21" s="23"/>
      <c r="D21" s="23"/>
      <c r="E21" s="23"/>
      <c r="K21" s="10"/>
      <c r="L21" s="10"/>
      <c r="M21" s="10"/>
      <c r="N21" s="10"/>
      <c r="O21" s="10"/>
      <c r="P21" s="10"/>
      <c r="Q21" s="10"/>
      <c r="R21" s="10"/>
      <c r="S21" s="10"/>
      <c r="T21" s="10"/>
      <c r="U21" s="10"/>
      <c r="V21" s="10"/>
    </row>
    <row r="22" spans="1:22" x14ac:dyDescent="0.25">
      <c r="A22" s="43" t="s">
        <v>1</v>
      </c>
      <c r="B22" s="44" t="s">
        <v>2</v>
      </c>
      <c r="C22" s="45"/>
      <c r="D22" s="6"/>
      <c r="G22" s="6"/>
      <c r="H22" s="6"/>
      <c r="I22" s="6"/>
      <c r="J22" s="6"/>
      <c r="K22" s="6"/>
      <c r="L22" s="6"/>
      <c r="M22" s="6"/>
      <c r="N22" s="6"/>
      <c r="O22" s="6"/>
      <c r="P22" s="6"/>
      <c r="Q22" s="6"/>
      <c r="R22" s="6"/>
      <c r="S22" s="6"/>
      <c r="T22" s="6"/>
      <c r="U22" s="6"/>
      <c r="V22" s="6"/>
    </row>
    <row r="23" spans="1:22" x14ac:dyDescent="0.25">
      <c r="A23" s="7" t="s">
        <v>3</v>
      </c>
      <c r="B23" s="7" t="s">
        <v>3</v>
      </c>
      <c r="C23" s="7" t="s">
        <v>4</v>
      </c>
      <c r="D23" s="7" t="s">
        <v>5</v>
      </c>
      <c r="E23" s="7" t="s">
        <v>6</v>
      </c>
      <c r="F23" s="7" t="s">
        <v>7</v>
      </c>
      <c r="G23" s="7" t="s">
        <v>8</v>
      </c>
      <c r="H23" s="8" t="s">
        <v>9</v>
      </c>
      <c r="I23" s="9" t="s">
        <v>10</v>
      </c>
      <c r="J23" s="7">
        <v>100</v>
      </c>
      <c r="K23" s="7">
        <v>150</v>
      </c>
      <c r="L23" s="7">
        <v>200</v>
      </c>
      <c r="M23" s="7">
        <f>L23+50</f>
        <v>250</v>
      </c>
      <c r="N23" s="7">
        <f t="shared" ref="N23:V23" si="6">M23+50</f>
        <v>300</v>
      </c>
      <c r="O23" s="7">
        <f t="shared" si="6"/>
        <v>350</v>
      </c>
      <c r="P23" s="7">
        <f t="shared" si="6"/>
        <v>400</v>
      </c>
      <c r="Q23" s="7">
        <f t="shared" si="6"/>
        <v>450</v>
      </c>
      <c r="R23" s="7">
        <f t="shared" si="6"/>
        <v>500</v>
      </c>
      <c r="S23" s="7">
        <f t="shared" si="6"/>
        <v>550</v>
      </c>
      <c r="T23" s="7">
        <f t="shared" si="6"/>
        <v>600</v>
      </c>
      <c r="U23" s="7">
        <f t="shared" si="6"/>
        <v>650</v>
      </c>
      <c r="V23" s="7">
        <f t="shared" si="6"/>
        <v>700</v>
      </c>
    </row>
    <row r="24" spans="1:22" x14ac:dyDescent="0.25">
      <c r="A24" s="41">
        <f t="shared" ref="A24:A33" si="7">$B$6*C24*B24</f>
        <v>0</v>
      </c>
      <c r="B24">
        <v>0</v>
      </c>
      <c r="C24" s="10">
        <f>E24-D24</f>
        <v>-5.5443712613135535E-2</v>
      </c>
      <c r="D24" s="10">
        <f>HLOOKUP($B$3,$J$23:$V$33,2)</f>
        <v>0.13362644268816082</v>
      </c>
      <c r="E24" s="10">
        <f>HLOOKUP($B$5,$K$23:$V$33,2)</f>
        <v>7.8182730075025283E-2</v>
      </c>
      <c r="F24" s="11">
        <v>0</v>
      </c>
      <c r="G24" s="12">
        <v>0.14101893770324556</v>
      </c>
      <c r="H24" s="12">
        <v>5.9701492537313432E-2</v>
      </c>
      <c r="I24" s="13">
        <f>(H24-G24)/220</f>
        <v>-3.6962475075423692E-4</v>
      </c>
      <c r="J24" s="14">
        <f t="shared" ref="J24:V31" si="8">$G24+(J$23-180)*$I24</f>
        <v>0.17058891776358451</v>
      </c>
      <c r="K24" s="14">
        <f t="shared" si="8"/>
        <v>0.15210768022587268</v>
      </c>
      <c r="L24" s="10">
        <f t="shared" si="8"/>
        <v>0.13362644268816082</v>
      </c>
      <c r="M24" s="10">
        <f t="shared" si="8"/>
        <v>0.11514520515044897</v>
      </c>
      <c r="N24" s="10">
        <f t="shared" si="8"/>
        <v>9.6663967612737128E-2</v>
      </c>
      <c r="O24" s="10">
        <f t="shared" si="8"/>
        <v>7.8182730075025283E-2</v>
      </c>
      <c r="P24" s="10">
        <f t="shared" si="8"/>
        <v>5.9701492537313439E-2</v>
      </c>
      <c r="Q24" s="10">
        <f t="shared" si="8"/>
        <v>4.1220254999601594E-2</v>
      </c>
      <c r="R24" s="10">
        <f t="shared" si="8"/>
        <v>2.2739017461889749E-2</v>
      </c>
      <c r="S24" s="10">
        <f t="shared" si="8"/>
        <v>4.2577799241778902E-3</v>
      </c>
      <c r="T24" s="10">
        <f t="shared" si="8"/>
        <v>-1.4223457613533941E-2</v>
      </c>
      <c r="U24" s="10">
        <f t="shared" si="8"/>
        <v>-3.27046951512458E-2</v>
      </c>
      <c r="V24" s="10">
        <f t="shared" si="8"/>
        <v>-5.118593268895763E-2</v>
      </c>
    </row>
    <row r="25" spans="1:22" x14ac:dyDescent="0.25">
      <c r="A25" s="41">
        <f t="shared" si="7"/>
        <v>0</v>
      </c>
      <c r="B25">
        <v>0</v>
      </c>
      <c r="C25" s="10">
        <f t="shared" ref="C25:C33" si="9">E25-D25</f>
        <v>-5.9094301221166906E-2</v>
      </c>
      <c r="D25" s="10">
        <f>HLOOKUP($B$3,$J$23:$V$33,3)</f>
        <v>0.21312075983717774</v>
      </c>
      <c r="E25" s="10">
        <f>HLOOKUP($B$5,$K$23:$V$33,3)</f>
        <v>0.15402645861601083</v>
      </c>
      <c r="F25" s="15">
        <v>1</v>
      </c>
      <c r="G25" s="16">
        <v>0.221</v>
      </c>
      <c r="H25" s="16">
        <v>0.13432835820895522</v>
      </c>
      <c r="I25" s="13">
        <f t="shared" ref="I25:I33" si="10">(H25-G25)/220</f>
        <v>-3.9396200814111266E-4</v>
      </c>
      <c r="J25" s="17">
        <f t="shared" si="8"/>
        <v>0.25251696065128904</v>
      </c>
      <c r="K25" s="17">
        <f t="shared" si="8"/>
        <v>0.23281886024423337</v>
      </c>
      <c r="L25" s="10">
        <f t="shared" si="8"/>
        <v>0.21312075983717774</v>
      </c>
      <c r="M25" s="10">
        <f t="shared" si="8"/>
        <v>0.1934226594301221</v>
      </c>
      <c r="N25" s="10">
        <f t="shared" si="8"/>
        <v>0.17372455902306649</v>
      </c>
      <c r="O25" s="10">
        <f t="shared" si="8"/>
        <v>0.15402645861601083</v>
      </c>
      <c r="P25" s="10">
        <f t="shared" si="8"/>
        <v>0.13432835820895522</v>
      </c>
      <c r="Q25" s="10">
        <f t="shared" si="8"/>
        <v>0.11463025780189959</v>
      </c>
      <c r="R25" s="10">
        <f t="shared" si="8"/>
        <v>9.4932157394843952E-2</v>
      </c>
      <c r="S25" s="10">
        <f t="shared" si="8"/>
        <v>7.5234056987788317E-2</v>
      </c>
      <c r="T25" s="10">
        <f t="shared" si="8"/>
        <v>5.5535956580732682E-2</v>
      </c>
      <c r="U25" s="10">
        <f t="shared" si="8"/>
        <v>3.5837856173677046E-2</v>
      </c>
      <c r="V25" s="10">
        <f t="shared" si="8"/>
        <v>1.6139755766621411E-2</v>
      </c>
    </row>
    <row r="26" spans="1:22" x14ac:dyDescent="0.25">
      <c r="A26" s="41">
        <f t="shared" si="7"/>
        <v>0</v>
      </c>
      <c r="B26">
        <v>0</v>
      </c>
      <c r="C26" s="10">
        <f t="shared" si="9"/>
        <v>-2.4474219810040693E-2</v>
      </c>
      <c r="D26" s="10">
        <f>HLOOKUP($B$3,$J$23:$V$33,4)</f>
        <v>0.21173677069199456</v>
      </c>
      <c r="E26" s="10">
        <f>HLOOKUP($B$5,$K$23:$V$33,4)</f>
        <v>0.18726255088195387</v>
      </c>
      <c r="F26" s="15">
        <v>2</v>
      </c>
      <c r="G26" s="16">
        <v>0.215</v>
      </c>
      <c r="H26" s="16">
        <v>0.17910447761194029</v>
      </c>
      <c r="I26" s="13">
        <f t="shared" si="10"/>
        <v>-1.631614654002714E-4</v>
      </c>
      <c r="J26" s="17">
        <f t="shared" si="8"/>
        <v>0.2280529172320217</v>
      </c>
      <c r="K26" s="17">
        <f t="shared" si="8"/>
        <v>0.21989484396200815</v>
      </c>
      <c r="L26" s="10">
        <f t="shared" si="8"/>
        <v>0.21173677069199456</v>
      </c>
      <c r="M26" s="10">
        <f t="shared" si="8"/>
        <v>0.20357869742198101</v>
      </c>
      <c r="N26" s="10">
        <f t="shared" si="8"/>
        <v>0.19542062415196743</v>
      </c>
      <c r="O26" s="10">
        <f t="shared" si="8"/>
        <v>0.18726255088195387</v>
      </c>
      <c r="P26" s="10">
        <f t="shared" si="8"/>
        <v>0.17910447761194029</v>
      </c>
      <c r="Q26" s="10">
        <f t="shared" si="8"/>
        <v>0.17094640434192671</v>
      </c>
      <c r="R26" s="10">
        <f t="shared" si="8"/>
        <v>0.16278833107191315</v>
      </c>
      <c r="S26" s="10">
        <f t="shared" si="8"/>
        <v>0.1546302578018996</v>
      </c>
      <c r="T26" s="10">
        <f t="shared" si="8"/>
        <v>0.14647218453188601</v>
      </c>
      <c r="U26" s="10">
        <f t="shared" si="8"/>
        <v>0.13831411126187243</v>
      </c>
      <c r="V26" s="10">
        <f t="shared" si="8"/>
        <v>0.13015603799185888</v>
      </c>
    </row>
    <row r="27" spans="1:22" x14ac:dyDescent="0.25">
      <c r="A27" s="41">
        <f t="shared" si="7"/>
        <v>0.37042062415196503</v>
      </c>
      <c r="B27">
        <v>1.3</v>
      </c>
      <c r="C27" s="10">
        <f t="shared" si="9"/>
        <v>2.8493894165535771E-3</v>
      </c>
      <c r="D27" s="10">
        <f>HLOOKUP($B$3,$J$23:$V$33,5)</f>
        <v>0.16037991858887382</v>
      </c>
      <c r="E27" s="10">
        <f>HLOOKUP($B$5,$K$23:$V$33,5)</f>
        <v>0.1632293080054274</v>
      </c>
      <c r="F27" s="15">
        <v>3</v>
      </c>
      <c r="G27" s="16">
        <v>0.16</v>
      </c>
      <c r="H27" s="16">
        <v>0.16417910447761194</v>
      </c>
      <c r="I27" s="13">
        <f t="shared" si="10"/>
        <v>1.8995929443690632E-5</v>
      </c>
      <c r="J27" s="17">
        <f t="shared" si="8"/>
        <v>0.15848032564450476</v>
      </c>
      <c r="K27" s="17">
        <f t="shared" si="8"/>
        <v>0.15943012211668928</v>
      </c>
      <c r="L27" s="10">
        <f t="shared" si="8"/>
        <v>0.16037991858887382</v>
      </c>
      <c r="M27" s="10">
        <f t="shared" si="8"/>
        <v>0.16132971506105834</v>
      </c>
      <c r="N27" s="10">
        <f t="shared" si="8"/>
        <v>0.16227951153324288</v>
      </c>
      <c r="O27" s="10">
        <f t="shared" si="8"/>
        <v>0.1632293080054274</v>
      </c>
      <c r="P27" s="10">
        <f t="shared" si="8"/>
        <v>0.16417910447761194</v>
      </c>
      <c r="Q27" s="10">
        <f t="shared" si="8"/>
        <v>0.16512890094979649</v>
      </c>
      <c r="R27" s="10">
        <f t="shared" si="8"/>
        <v>0.166078697421981</v>
      </c>
      <c r="S27" s="10">
        <f t="shared" si="8"/>
        <v>0.16702849389416555</v>
      </c>
      <c r="T27" s="10">
        <f t="shared" si="8"/>
        <v>0.16797829036635006</v>
      </c>
      <c r="U27" s="10">
        <f t="shared" si="8"/>
        <v>0.16892808683853461</v>
      </c>
      <c r="V27" s="10">
        <f t="shared" si="8"/>
        <v>0.16987788331071912</v>
      </c>
    </row>
    <row r="28" spans="1:22" x14ac:dyDescent="0.25">
      <c r="A28" s="41">
        <f t="shared" si="7"/>
        <v>6.604070556309364</v>
      </c>
      <c r="B28" s="2">
        <v>2.6</v>
      </c>
      <c r="C28" s="10">
        <f t="shared" si="9"/>
        <v>2.5400271370420627E-2</v>
      </c>
      <c r="D28" s="10">
        <f>HLOOKUP($B$3,$J$23:$V$33,6)</f>
        <v>0.11538670284938941</v>
      </c>
      <c r="E28" s="10">
        <f>HLOOKUP($B$5,$K$23:$V$33,6)</f>
        <v>0.14078697421981004</v>
      </c>
      <c r="F28" s="15">
        <v>4</v>
      </c>
      <c r="G28" s="18">
        <v>0.112</v>
      </c>
      <c r="H28" s="18">
        <v>0.14925373134328357</v>
      </c>
      <c r="I28" s="13">
        <f t="shared" si="10"/>
        <v>1.6933514246947077E-4</v>
      </c>
      <c r="J28" s="17">
        <f t="shared" si="8"/>
        <v>9.8453188602442343E-2</v>
      </c>
      <c r="K28" s="17">
        <f t="shared" si="8"/>
        <v>0.10691994572591589</v>
      </c>
      <c r="L28" s="10">
        <f t="shared" si="8"/>
        <v>0.11538670284938941</v>
      </c>
      <c r="M28" s="10">
        <f t="shared" si="8"/>
        <v>0.12385345997286296</v>
      </c>
      <c r="N28" s="10">
        <f t="shared" si="8"/>
        <v>0.13232021709633648</v>
      </c>
      <c r="O28" s="10">
        <f t="shared" si="8"/>
        <v>0.14078697421981004</v>
      </c>
      <c r="P28" s="10">
        <f t="shared" si="8"/>
        <v>0.14925373134328357</v>
      </c>
      <c r="Q28" s="10">
        <f t="shared" si="8"/>
        <v>0.15772048846675712</v>
      </c>
      <c r="R28" s="10">
        <f t="shared" si="8"/>
        <v>0.16618724559023065</v>
      </c>
      <c r="S28" s="10">
        <f t="shared" si="8"/>
        <v>0.17465400271370418</v>
      </c>
      <c r="T28" s="10">
        <f t="shared" si="8"/>
        <v>0.18312075983717774</v>
      </c>
      <c r="U28" s="10">
        <f t="shared" si="8"/>
        <v>0.19158751696065127</v>
      </c>
      <c r="V28" s="10">
        <f t="shared" si="8"/>
        <v>0.20005427408412479</v>
      </c>
    </row>
    <row r="29" spans="1:22" x14ac:dyDescent="0.25">
      <c r="A29" s="41">
        <f t="shared" si="7"/>
        <v>12.87079375848033</v>
      </c>
      <c r="B29">
        <v>3.9</v>
      </c>
      <c r="C29" s="10">
        <f t="shared" si="9"/>
        <v>3.3002035278154693E-2</v>
      </c>
      <c r="D29" s="10">
        <f>HLOOKUP($B$3,$J$23:$V$33,7)</f>
        <v>7.5400271370420616E-2</v>
      </c>
      <c r="E29" s="10">
        <f>HLOOKUP($B$5,$K$23:$V$33,7)</f>
        <v>0.10840230664857531</v>
      </c>
      <c r="F29" s="15">
        <v>5</v>
      </c>
      <c r="G29" s="16">
        <v>7.0999999999999994E-2</v>
      </c>
      <c r="H29" s="16">
        <v>0.11940298507462686</v>
      </c>
      <c r="I29" s="13">
        <f t="shared" si="10"/>
        <v>2.2001356852103122E-4</v>
      </c>
      <c r="J29" s="17">
        <f t="shared" si="8"/>
        <v>5.3398914518317492E-2</v>
      </c>
      <c r="K29" s="17">
        <f t="shared" si="8"/>
        <v>6.4399592944369061E-2</v>
      </c>
      <c r="L29" s="10">
        <f t="shared" si="8"/>
        <v>7.5400271370420616E-2</v>
      </c>
      <c r="M29" s="10">
        <f t="shared" si="8"/>
        <v>8.6400949796472185E-2</v>
      </c>
      <c r="N29" s="10">
        <f t="shared" si="8"/>
        <v>9.740162822252374E-2</v>
      </c>
      <c r="O29" s="10">
        <f t="shared" si="8"/>
        <v>0.10840230664857531</v>
      </c>
      <c r="P29" s="10">
        <f t="shared" si="8"/>
        <v>0.11940298507462686</v>
      </c>
      <c r="Q29" s="10">
        <f t="shared" si="8"/>
        <v>0.13040366350067842</v>
      </c>
      <c r="R29" s="10">
        <f t="shared" si="8"/>
        <v>0.14140434192672999</v>
      </c>
      <c r="S29" s="10">
        <f t="shared" si="8"/>
        <v>0.15240502035278153</v>
      </c>
      <c r="T29" s="10">
        <f t="shared" si="8"/>
        <v>0.1634056987788331</v>
      </c>
      <c r="U29" s="10">
        <f t="shared" si="8"/>
        <v>0.17440637720488467</v>
      </c>
      <c r="V29" s="10">
        <f t="shared" si="8"/>
        <v>0.18540705563093623</v>
      </c>
    </row>
    <row r="30" spans="1:22" x14ac:dyDescent="0.25">
      <c r="A30" s="41">
        <f t="shared" si="7"/>
        <v>16.504884667571229</v>
      </c>
      <c r="B30">
        <v>5.2</v>
      </c>
      <c r="C30" s="10">
        <f t="shared" si="9"/>
        <v>3.1740162822252366E-2</v>
      </c>
      <c r="D30" s="10">
        <f>HLOOKUP($B$3,$J$23:$V$33,8)</f>
        <v>4.7232021709633643E-2</v>
      </c>
      <c r="E30" s="10">
        <f>HLOOKUP($B$5,$K$23:$V$33,8)</f>
        <v>7.8972184531886008E-2</v>
      </c>
      <c r="F30" s="15">
        <v>6</v>
      </c>
      <c r="G30" s="16">
        <v>4.2999999999999997E-2</v>
      </c>
      <c r="H30" s="16">
        <v>8.9552238805970144E-2</v>
      </c>
      <c r="I30" s="13">
        <f t="shared" si="10"/>
        <v>2.1160108548168248E-4</v>
      </c>
      <c r="J30" s="17">
        <f t="shared" si="8"/>
        <v>2.6071913161465399E-2</v>
      </c>
      <c r="K30" s="17">
        <f t="shared" si="8"/>
        <v>3.6651967435549521E-2</v>
      </c>
      <c r="L30" s="10">
        <f t="shared" si="8"/>
        <v>4.7232021709633643E-2</v>
      </c>
      <c r="M30" s="10">
        <f t="shared" si="8"/>
        <v>5.7812075983717771E-2</v>
      </c>
      <c r="N30" s="10">
        <f t="shared" si="8"/>
        <v>6.8392130257801886E-2</v>
      </c>
      <c r="O30" s="10">
        <f t="shared" si="8"/>
        <v>7.8972184531886008E-2</v>
      </c>
      <c r="P30" s="10">
        <f t="shared" si="8"/>
        <v>8.9552238805970144E-2</v>
      </c>
      <c r="Q30" s="10">
        <f t="shared" si="8"/>
        <v>0.10013229308005427</v>
      </c>
      <c r="R30" s="10">
        <f t="shared" si="8"/>
        <v>0.11071234735413839</v>
      </c>
      <c r="S30" s="10">
        <f t="shared" si="8"/>
        <v>0.12129240162822251</v>
      </c>
      <c r="T30" s="10">
        <f t="shared" si="8"/>
        <v>0.13187245590230662</v>
      </c>
      <c r="U30" s="10">
        <f t="shared" si="8"/>
        <v>0.14245251017639077</v>
      </c>
      <c r="V30" s="10">
        <f t="shared" si="8"/>
        <v>0.15303256445047489</v>
      </c>
    </row>
    <row r="31" spans="1:22" x14ac:dyDescent="0.25">
      <c r="A31" s="41">
        <f t="shared" si="7"/>
        <v>16.515671641791045</v>
      </c>
      <c r="B31">
        <v>6.6</v>
      </c>
      <c r="C31" s="10">
        <f t="shared" si="9"/>
        <v>2.5023744911804612E-2</v>
      </c>
      <c r="D31" s="10">
        <f>HLOOKUP($B$3,$J$23:$V$33,9)</f>
        <v>2.6336499321573947E-2</v>
      </c>
      <c r="E31" s="10">
        <f>HLOOKUP($B$5,$K$23:$V$33,9)</f>
        <v>5.1360244233378559E-2</v>
      </c>
      <c r="F31" s="15">
        <v>7</v>
      </c>
      <c r="G31" s="16">
        <v>2.3E-2</v>
      </c>
      <c r="H31" s="16">
        <v>5.9701492537313432E-2</v>
      </c>
      <c r="I31" s="13">
        <f t="shared" si="10"/>
        <v>1.6682496607869741E-4</v>
      </c>
      <c r="J31" s="17">
        <f t="shared" si="8"/>
        <v>9.6540027137042069E-3</v>
      </c>
      <c r="K31" s="17">
        <f t="shared" si="8"/>
        <v>1.7995251017639078E-2</v>
      </c>
      <c r="L31" s="10">
        <f t="shared" si="8"/>
        <v>2.6336499321573947E-2</v>
      </c>
      <c r="M31" s="10">
        <f t="shared" si="8"/>
        <v>3.467774762550882E-2</v>
      </c>
      <c r="N31" s="10">
        <f t="shared" si="8"/>
        <v>4.3018995929443693E-2</v>
      </c>
      <c r="O31" s="10">
        <f t="shared" si="8"/>
        <v>5.1360244233378559E-2</v>
      </c>
      <c r="P31" s="10">
        <f t="shared" si="8"/>
        <v>5.9701492537313432E-2</v>
      </c>
      <c r="Q31" s="10">
        <f t="shared" si="8"/>
        <v>6.8042740841248311E-2</v>
      </c>
      <c r="R31" s="10">
        <f t="shared" si="8"/>
        <v>7.638398914518317E-2</v>
      </c>
      <c r="S31" s="10">
        <f t="shared" si="8"/>
        <v>8.4725237449118043E-2</v>
      </c>
      <c r="T31" s="10">
        <f t="shared" si="8"/>
        <v>9.3066485753052902E-2</v>
      </c>
      <c r="U31" s="10">
        <f t="shared" si="8"/>
        <v>0.10140773405698777</v>
      </c>
      <c r="V31" s="10">
        <f t="shared" si="8"/>
        <v>0.10974898236092265</v>
      </c>
    </row>
    <row r="32" spans="1:22" x14ac:dyDescent="0.25">
      <c r="A32" s="41">
        <f t="shared" si="7"/>
        <v>10.153697421981006</v>
      </c>
      <c r="B32">
        <v>7.9</v>
      </c>
      <c r="C32" s="10">
        <f t="shared" si="9"/>
        <v>1.2852781546811399E-2</v>
      </c>
      <c r="D32" s="10">
        <f>HLOOKUP($B$3,$J$23:$V$33,10)</f>
        <v>1.271370420624152E-2</v>
      </c>
      <c r="E32" s="10">
        <f>HLOOKUP($B$5,$K$23:$V$33,10)</f>
        <v>2.5566485753052919E-2</v>
      </c>
      <c r="F32" s="15">
        <v>8</v>
      </c>
      <c r="G32" s="16">
        <v>1.0999999999999999E-2</v>
      </c>
      <c r="H32" s="16">
        <v>2.9850746268656716E-2</v>
      </c>
      <c r="I32" s="13">
        <f t="shared" si="10"/>
        <v>8.5685210312075986E-5</v>
      </c>
      <c r="J32" s="17">
        <f>$G32+(J$23-180)*$I32-0.003</f>
        <v>1.1451831750339207E-3</v>
      </c>
      <c r="K32" s="17">
        <f t="shared" ref="K32:V33" si="11">$G32+(K$23-180)*$I32</f>
        <v>8.4294436906377189E-3</v>
      </c>
      <c r="L32" s="10">
        <f t="shared" si="11"/>
        <v>1.271370420624152E-2</v>
      </c>
      <c r="M32" s="10">
        <f t="shared" si="11"/>
        <v>1.6997964721845317E-2</v>
      </c>
      <c r="N32" s="10">
        <f t="shared" si="11"/>
        <v>2.1282225237449118E-2</v>
      </c>
      <c r="O32" s="10">
        <f t="shared" si="11"/>
        <v>2.5566485753052919E-2</v>
      </c>
      <c r="P32" s="10">
        <f t="shared" si="11"/>
        <v>2.9850746268656716E-2</v>
      </c>
      <c r="Q32" s="10">
        <f t="shared" si="11"/>
        <v>3.4135006784260513E-2</v>
      </c>
      <c r="R32" s="10">
        <f t="shared" si="11"/>
        <v>3.8419267299864314E-2</v>
      </c>
      <c r="S32" s="10">
        <f t="shared" si="11"/>
        <v>4.2703527815468115E-2</v>
      </c>
      <c r="T32" s="10">
        <f t="shared" si="11"/>
        <v>4.6987788331071909E-2</v>
      </c>
      <c r="U32" s="10">
        <f t="shared" si="11"/>
        <v>5.1272048846675716E-2</v>
      </c>
      <c r="V32" s="10">
        <f t="shared" si="11"/>
        <v>5.555630936227951E-2</v>
      </c>
    </row>
    <row r="33" spans="1:22" x14ac:dyDescent="0.25">
      <c r="A33" s="42">
        <f t="shared" si="7"/>
        <v>6.2259158751696049</v>
      </c>
      <c r="B33" s="3">
        <v>9.1999999999999993</v>
      </c>
      <c r="C33" s="19">
        <f t="shared" si="9"/>
        <v>6.7672998643147891E-3</v>
      </c>
      <c r="D33" s="19">
        <f>HLOOKUP($B$3,$J$23:$V$33,11)</f>
        <v>5.9023066485753058E-3</v>
      </c>
      <c r="E33" s="19">
        <f>HLOOKUP($B$5,$K$23:$V$33,11)</f>
        <v>1.2669606512890095E-2</v>
      </c>
      <c r="F33" s="20">
        <v>9</v>
      </c>
      <c r="G33" s="21">
        <v>5.0000000000000001E-3</v>
      </c>
      <c r="H33" s="21">
        <v>1.4925373134328358E-2</v>
      </c>
      <c r="I33" s="22">
        <f t="shared" si="10"/>
        <v>4.5115332428765265E-5</v>
      </c>
      <c r="J33" s="19">
        <f>$G33+(J$23-180)*$I33</f>
        <v>1.3907734056987789E-3</v>
      </c>
      <c r="K33" s="19">
        <f t="shared" si="11"/>
        <v>3.6465400271370419E-3</v>
      </c>
      <c r="L33" s="19">
        <f t="shared" si="11"/>
        <v>5.9023066485753058E-3</v>
      </c>
      <c r="M33" s="19">
        <f t="shared" si="11"/>
        <v>8.1580732700135689E-3</v>
      </c>
      <c r="N33" s="19">
        <f t="shared" si="11"/>
        <v>1.0413839891451832E-2</v>
      </c>
      <c r="O33" s="19">
        <f t="shared" si="11"/>
        <v>1.2669606512890095E-2</v>
      </c>
      <c r="P33" s="19">
        <f t="shared" si="11"/>
        <v>1.492537313432836E-2</v>
      </c>
      <c r="Q33" s="19">
        <f t="shared" si="11"/>
        <v>1.7181139755766621E-2</v>
      </c>
      <c r="R33" s="19">
        <f t="shared" si="11"/>
        <v>1.9436906377204886E-2</v>
      </c>
      <c r="S33" s="19">
        <f t="shared" si="11"/>
        <v>2.169267299864315E-2</v>
      </c>
      <c r="T33" s="19">
        <f t="shared" si="11"/>
        <v>2.3948439620081412E-2</v>
      </c>
      <c r="U33" s="19">
        <f t="shared" si="11"/>
        <v>2.6204206241519677E-2</v>
      </c>
      <c r="V33" s="19">
        <f t="shared" si="11"/>
        <v>2.8459972862957938E-2</v>
      </c>
    </row>
    <row r="34" spans="1:22" x14ac:dyDescent="0.25">
      <c r="A34" s="39">
        <f>SUM(A24:A33)/B6</f>
        <v>0.69245454545454554</v>
      </c>
      <c r="B34" s="40" t="s">
        <v>15</v>
      </c>
      <c r="C34" s="23"/>
      <c r="D34" s="23"/>
      <c r="E34" s="23"/>
      <c r="J34" s="34">
        <f>SUM(J24:J33)</f>
        <v>0.99975309686806213</v>
      </c>
      <c r="K34" s="24">
        <f>SUM(K24:K33)</f>
        <v>1.0022942473900518</v>
      </c>
      <c r="L34" s="24">
        <f t="shared" ref="L34:V34" si="12">SUM(L24:L33)</f>
        <v>1.0018353979120413</v>
      </c>
      <c r="M34" s="24">
        <f t="shared" si="12"/>
        <v>1.0013765484340309</v>
      </c>
      <c r="N34" s="24">
        <f t="shared" si="12"/>
        <v>1.0009176989560207</v>
      </c>
      <c r="O34" s="24">
        <f t="shared" si="12"/>
        <v>1.0004588494780102</v>
      </c>
      <c r="P34" s="24">
        <f t="shared" si="12"/>
        <v>1</v>
      </c>
      <c r="Q34" s="24">
        <f t="shared" si="12"/>
        <v>0.99954115052198966</v>
      </c>
      <c r="R34" s="24">
        <f t="shared" si="12"/>
        <v>0.99908230104397933</v>
      </c>
      <c r="S34" s="24">
        <f t="shared" si="12"/>
        <v>0.9986234515659691</v>
      </c>
      <c r="T34" s="24">
        <f t="shared" si="12"/>
        <v>0.99816460208795843</v>
      </c>
      <c r="U34" s="24">
        <f t="shared" si="12"/>
        <v>0.99770575260994809</v>
      </c>
      <c r="V34" s="24">
        <f t="shared" si="12"/>
        <v>0.99724690313193787</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totals and goals</vt:lpstr>
      <vt:lpstr>sccloss</vt:lpstr>
    </vt:vector>
  </TitlesOfParts>
  <Company>University of Minnesota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Fetrow VMD, MBA</dc:creator>
  <cp:lastModifiedBy>Sorge Ulrike</cp:lastModifiedBy>
  <cp:lastPrinted>2016-12-05T12:13:29Z</cp:lastPrinted>
  <dcterms:created xsi:type="dcterms:W3CDTF">2001-10-10T18:36:38Z</dcterms:created>
  <dcterms:modified xsi:type="dcterms:W3CDTF">2016-12-07T08:42:12Z</dcterms:modified>
</cp:coreProperties>
</file>